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ksbusinessfirst.sharepoint.com/sites/btvlep/Private/005 Communications/Bucks LEP website &amp; comms/Uploading documents/Board Meeting Papers/January 24/"/>
    </mc:Choice>
  </mc:AlternateContent>
  <xr:revisionPtr revIDLastSave="0" documentId="8_{CA0FE6DE-7FDD-427E-9353-154E607ECE48}" xr6:coauthVersionLast="47" xr6:coauthVersionMax="47" xr10:uidLastSave="{00000000-0000-0000-0000-000000000000}"/>
  <bookViews>
    <workbookView xWindow="-120" yWindow="-120" windowWidth="29040" windowHeight="15840" xr2:uid="{97DFED42-0B17-47B2-9C09-7B084AD29572}"/>
  </bookViews>
  <sheets>
    <sheet name="Sheet1" sheetId="1" r:id="rId1"/>
  </sheets>
  <externalReferences>
    <externalReference r:id="rId2"/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J15" i="1"/>
  <c r="I32" i="1" l="1"/>
  <c r="I39" i="1" s="1"/>
  <c r="K45" i="1"/>
  <c r="J12" i="1"/>
  <c r="H32" i="1"/>
  <c r="H39" i="1" s="1"/>
  <c r="C48" i="1" l="1"/>
  <c r="E26" i="1"/>
  <c r="E24" i="1" l="1"/>
  <c r="G24" i="1" s="1"/>
  <c r="D26" i="1"/>
  <c r="D24" i="1"/>
  <c r="E17" i="1"/>
  <c r="G26" i="1"/>
  <c r="E27" i="1"/>
  <c r="G27" i="1" s="1"/>
  <c r="H27" i="1" s="1"/>
  <c r="I27" i="1" s="1"/>
  <c r="D27" i="1"/>
  <c r="H24" i="1" l="1"/>
  <c r="F35" i="1"/>
  <c r="F17" i="1"/>
  <c r="C49" i="1"/>
  <c r="G71" i="1"/>
  <c r="H71" i="1"/>
  <c r="H52" i="1"/>
  <c r="H56" i="1" s="1"/>
  <c r="G56" i="1"/>
  <c r="H72" i="1" l="1"/>
  <c r="J31" i="1" l="1"/>
  <c r="J27" i="1"/>
  <c r="E9" i="1"/>
  <c r="E14" i="1"/>
  <c r="E25" i="1"/>
  <c r="I24" i="1"/>
  <c r="J24" i="1" s="1"/>
  <c r="I28" i="1"/>
  <c r="J28" i="1" s="1"/>
  <c r="H28" i="1"/>
  <c r="G28" i="1"/>
  <c r="G25" i="1" l="1"/>
  <c r="I9" i="1" l="1"/>
  <c r="J9" i="1" s="1"/>
  <c r="H9" i="1"/>
  <c r="G9" i="1"/>
  <c r="I17" i="1"/>
  <c r="J17" i="1" s="1"/>
  <c r="H17" i="1"/>
  <c r="G17" i="1"/>
  <c r="G14" i="1"/>
  <c r="I14" i="1" s="1"/>
  <c r="J14" i="1" s="1"/>
  <c r="H11" i="1"/>
  <c r="I11" i="1" s="1"/>
  <c r="I10" i="1"/>
  <c r="J10" i="1" s="1"/>
  <c r="G10" i="1"/>
  <c r="H14" i="1" l="1"/>
  <c r="F36" i="1" l="1"/>
  <c r="D25" i="1"/>
  <c r="H26" i="1" l="1"/>
  <c r="G32" i="1"/>
  <c r="G39" i="1" s="1"/>
  <c r="E32" i="1"/>
  <c r="E39" i="1" s="1"/>
  <c r="J26" i="1" l="1"/>
  <c r="D10" i="1"/>
  <c r="D12" i="1"/>
  <c r="K42" i="1" l="1"/>
  <c r="J32" i="1"/>
  <c r="J39" i="1" s="1"/>
  <c r="F10" i="1"/>
  <c r="E10" i="1"/>
  <c r="J19" i="1" l="1"/>
  <c r="F8" i="1"/>
  <c r="F12" i="1" l="1"/>
  <c r="F32" i="1" l="1"/>
  <c r="E19" i="1"/>
  <c r="E18" i="1"/>
  <c r="G18" i="1" s="1"/>
  <c r="I18" i="1" s="1"/>
  <c r="J18" i="1" s="1"/>
  <c r="I19" i="1" l="1"/>
  <c r="I20" i="1" s="1"/>
  <c r="I38" i="1" s="1"/>
  <c r="H19" i="1"/>
  <c r="H20" i="1" s="1"/>
  <c r="G19" i="1"/>
  <c r="G20" i="1" s="1"/>
  <c r="G38" i="1" s="1"/>
  <c r="G36" i="1" s="1"/>
  <c r="F19" i="1"/>
  <c r="F20" i="1" s="1"/>
  <c r="F21" i="1" s="1"/>
  <c r="F34" i="1" s="1"/>
  <c r="H38" i="1" l="1"/>
  <c r="H36" i="1" s="1"/>
  <c r="H21" i="1"/>
  <c r="H34" i="1" s="1"/>
  <c r="G40" i="1"/>
  <c r="G21" i="1"/>
  <c r="G34" i="1" s="1"/>
  <c r="I21" i="1"/>
  <c r="I34" i="1" s="1"/>
  <c r="E11" i="1"/>
  <c r="E20" i="1" s="1"/>
  <c r="C56" i="1"/>
  <c r="K17" i="1"/>
  <c r="D17" i="1"/>
  <c r="J48" i="1" s="1"/>
  <c r="K14" i="1"/>
  <c r="K18" i="1"/>
  <c r="K9" i="1"/>
  <c r="K10" i="1"/>
  <c r="K12" i="1"/>
  <c r="K13" i="1"/>
  <c r="K15" i="1"/>
  <c r="K16" i="1"/>
  <c r="K19" i="1"/>
  <c r="K31" i="1"/>
  <c r="K27" i="1"/>
  <c r="K29" i="1"/>
  <c r="K30" i="1"/>
  <c r="K24" i="1"/>
  <c r="C25" i="1"/>
  <c r="C26" i="1"/>
  <c r="D9" i="1"/>
  <c r="C15" i="1"/>
  <c r="C20" i="1" s="1"/>
  <c r="C21" i="1" s="1"/>
  <c r="R31" i="1"/>
  <c r="E38" i="1" l="1"/>
  <c r="I40" i="1"/>
  <c r="I36" i="1" s="1"/>
  <c r="I35" i="1" s="1"/>
  <c r="H40" i="1"/>
  <c r="H35" i="1"/>
  <c r="G35" i="1"/>
  <c r="C32" i="1"/>
  <c r="C34" i="1" s="1"/>
  <c r="E21" i="1"/>
  <c r="E34" i="1" s="1"/>
  <c r="E35" i="1" s="1"/>
  <c r="K26" i="1"/>
  <c r="D32" i="1"/>
  <c r="J47" i="1" s="1"/>
  <c r="J49" i="1" s="1"/>
  <c r="D49" i="1" s="1"/>
  <c r="D20" i="1"/>
  <c r="D38" i="1" s="1"/>
  <c r="Q20" i="1"/>
  <c r="P20" i="1"/>
  <c r="O20" i="1"/>
  <c r="N20" i="1"/>
  <c r="M20" i="1"/>
  <c r="D39" i="1" l="1"/>
  <c r="E40" i="1"/>
  <c r="D21" i="1"/>
  <c r="D34" i="1" s="1"/>
  <c r="M32" i="1"/>
  <c r="J11" i="1"/>
  <c r="J8" i="1"/>
  <c r="K8" i="1" l="1"/>
  <c r="J20" i="1"/>
  <c r="J38" i="1" s="1"/>
  <c r="J36" i="1" s="1"/>
  <c r="K28" i="1"/>
  <c r="K11" i="1"/>
  <c r="D35" i="1"/>
  <c r="D40" i="1"/>
  <c r="J21" i="1"/>
  <c r="K38" i="1" l="1"/>
  <c r="C59" i="1" s="1"/>
  <c r="J40" i="1"/>
  <c r="D59" i="1"/>
  <c r="K21" i="1"/>
  <c r="K20" i="1"/>
  <c r="K25" i="1"/>
  <c r="K32" i="1" s="1"/>
  <c r="K34" i="1" s="1"/>
  <c r="D60" i="1" l="1"/>
  <c r="K39" i="1"/>
  <c r="C60" i="1" s="1"/>
  <c r="C63" i="1" s="1"/>
  <c r="C64" i="1" s="1"/>
  <c r="J34" i="1"/>
  <c r="D63" i="1" l="1"/>
  <c r="D64" i="1" s="1"/>
  <c r="M5" i="1"/>
  <c r="M21" i="1" s="1"/>
  <c r="M34" i="1" s="1"/>
  <c r="N5" i="1" s="1"/>
  <c r="N21" i="1" s="1"/>
  <c r="J35" i="1"/>
  <c r="M35" i="1" l="1"/>
  <c r="N32" i="1"/>
  <c r="N34" i="1" s="1"/>
  <c r="M36" i="1" l="1"/>
  <c r="N35" i="1"/>
  <c r="N36" i="1" s="1"/>
  <c r="O5" i="1"/>
  <c r="O21" i="1" l="1"/>
  <c r="O32" i="1" l="1"/>
  <c r="O34" i="1" s="1"/>
  <c r="O35" i="1"/>
  <c r="O36" i="1" l="1"/>
  <c r="P5" i="1"/>
  <c r="P21" i="1" l="1"/>
  <c r="P32" i="1" l="1"/>
  <c r="P34" i="1" s="1"/>
  <c r="P35" i="1"/>
  <c r="P36" i="1" l="1"/>
  <c r="Q5" i="1"/>
  <c r="Q21" i="1" l="1"/>
  <c r="Q32" i="1" l="1"/>
  <c r="Q34" i="1" s="1"/>
  <c r="Q35" i="1"/>
  <c r="Q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tc={E4E47689-986A-47C2-B273-0B25A856B5F7}</author>
  </authors>
  <commentList>
    <comment ref="D12" authorId="0" shapeId="0" xr:uid="{E4E47689-986A-47C2-B273-0B25A856B5F7}">
      <text>
        <t>[Threaded comment]
Your version of Excel allows you to read this threaded comment; however, any edits to it will get removed if the file is opened in a newer version of Excel. Learn more: https://go.microsoft.com/fwlink/?linkid=870924
Comment:
    ~Growth hub qtr1, Lep network, Ez op fund 23/24, BBF loan repayments for 22 = (63.7k+78k+250k+8k)
Reply:
    =£399.7k paid by BC in Oct23</t>
      </text>
    </comment>
  </commentList>
</comments>
</file>

<file path=xl/sharedStrings.xml><?xml version="1.0" encoding="utf-8"?>
<sst xmlns="http://schemas.openxmlformats.org/spreadsheetml/2006/main" count="98" uniqueCount="93">
  <si>
    <t>Bucks LEP - Financial Position and Five-year Projection</t>
  </si>
  <si>
    <t>Bucks LEP</t>
  </si>
  <si>
    <t>Five year projected budget</t>
  </si>
  <si>
    <t>All figs £K</t>
  </si>
  <si>
    <t>23-24</t>
  </si>
  <si>
    <t>24-25</t>
  </si>
  <si>
    <t>25-26</t>
  </si>
  <si>
    <t>26-27</t>
  </si>
  <si>
    <t>27-28</t>
  </si>
  <si>
    <t>28-29</t>
  </si>
  <si>
    <t>Notes</t>
  </si>
  <si>
    <t>Opening Balance</t>
  </si>
  <si>
    <t>Income</t>
  </si>
  <si>
    <t>Government Core LEP Funding</t>
  </si>
  <si>
    <t xml:space="preserve">Government Growth Hub Funding </t>
  </si>
  <si>
    <t xml:space="preserve">Government LEP Network Funding </t>
  </si>
  <si>
    <t>BC transfer of recycled LEP Programme Funds</t>
  </si>
  <si>
    <t>BC transfer of unspent LEP Programme Funds</t>
  </si>
  <si>
    <t>Broadband Gainshare Contact 1 and 2*</t>
  </si>
  <si>
    <t>Bank Interest</t>
  </si>
  <si>
    <t>Expenditure</t>
  </si>
  <si>
    <t>Operational Cost Benchmark - not more than 10% of opening budget in year</t>
  </si>
  <si>
    <t>Staff Costs</t>
  </si>
  <si>
    <t xml:space="preserve">Non-Staff Costs </t>
  </si>
  <si>
    <t>see above 10 pc inclusive across both lines 26 and 27</t>
  </si>
  <si>
    <t>Enterprise Zone revenue and capital cost</t>
  </si>
  <si>
    <t>Growth Hub payments to BBF</t>
  </si>
  <si>
    <t>LEP Network (Pass Through)</t>
  </si>
  <si>
    <t>TOTAL EXPENDITURE</t>
  </si>
  <si>
    <t>Closing Balance - Cash with Council</t>
  </si>
  <si>
    <t>Closing Balance - Cash in Bank</t>
  </si>
  <si>
    <t xml:space="preserve">Funding only confirmed for 2023/24 - Not to be passed through Bucks LEP in future years. </t>
  </si>
  <si>
    <t>Other Grant Income</t>
  </si>
  <si>
    <t>Other Earned Income</t>
  </si>
  <si>
    <t>TOTAL FUNDS</t>
  </si>
  <si>
    <t>No funding for 2024/25 onwards</t>
  </si>
  <si>
    <t>opening balance is LEP money in bank account (£3.497m) and EZ funds (£5.285m) held by BC on LEP behalf</t>
  </si>
  <si>
    <t>Trade Debtors</t>
  </si>
  <si>
    <t>Strategic Reserve</t>
  </si>
  <si>
    <t xml:space="preserve">Relates to invoices raised in 2022/23 but not paid at March 31st 2023. </t>
  </si>
  <si>
    <t>Forecast</t>
  </si>
  <si>
    <t>Variance to budget</t>
  </si>
  <si>
    <t>Budget</t>
  </si>
  <si>
    <t>Actuals to Nov</t>
  </si>
  <si>
    <t>Loan Repayments (interest + principle)</t>
  </si>
  <si>
    <t>Enterprise Zone Funding (rates only)</t>
  </si>
  <si>
    <t xml:space="preserve">Based on current committed and delivered floorspace  - does not include STP Phase 5 , Westcott Hub and K site from as not yet delivered. No additional dev at Woodlands included. Assuming no additional investment into Enterprise Zone programme.  Gross income reduced by 7%  as a contingency for void properties or for other exceptions.
Forecast Variance - due to rates increase. </t>
  </si>
  <si>
    <t>TOTAL INCOME</t>
  </si>
  <si>
    <t>NET Funds</t>
  </si>
  <si>
    <t>silverstone</t>
  </si>
  <si>
    <t>SAC</t>
  </si>
  <si>
    <t>LEP Only</t>
  </si>
  <si>
    <t>April Cash Balance</t>
  </si>
  <si>
    <t>30 Nov Cash Balance</t>
  </si>
  <si>
    <t>Total Debt (outs)</t>
  </si>
  <si>
    <t>Total Credits (in)</t>
  </si>
  <si>
    <t>EZ</t>
  </si>
  <si>
    <t xml:space="preserve">BANK </t>
  </si>
  <si>
    <t>Add on remaining forecast income</t>
  </si>
  <si>
    <t>Add on remaining forecast spend</t>
  </si>
  <si>
    <t>Revised Cash Forecast</t>
  </si>
  <si>
    <t>Revised cash forecast if EZ remaining if paid by Council</t>
  </si>
  <si>
    <t>Bank balance projection for 23-24 year end - Assumes remaining payments for EZ are funded by Council.</t>
  </si>
  <si>
    <t>Actuals to Dec</t>
  </si>
  <si>
    <t>-</t>
  </si>
  <si>
    <t>Need to re-use for capital programme - decision to be made by LEP Board. One off final payment.  Forecast variance - was not included in budget (balance sheet item). This is an underspend from the Getting building funds meant to be spent on digital programmes. Funds to be held by BC.</t>
  </si>
  <si>
    <t>delete line?</t>
  </si>
  <si>
    <t>Projected to Feb 24</t>
  </si>
  <si>
    <t>Projected to Jan24</t>
  </si>
  <si>
    <t>Projected to Mar 24</t>
  </si>
  <si>
    <t>Xero adj</t>
  </si>
  <si>
    <t>Forecast Variance - Made approvals in year, including additional funding of £190 k in 23/24 for Growth Hub @ Westcott. Costs include staff costs but variance as staff costs were under the line above C24.</t>
  </si>
  <si>
    <t>Nov</t>
  </si>
  <si>
    <t>Dec</t>
  </si>
  <si>
    <t>Check</t>
  </si>
  <si>
    <t>April23 op bal</t>
  </si>
  <si>
    <t>Cash</t>
  </si>
  <si>
    <t xml:space="preserve">DR </t>
  </si>
  <si>
    <t>CR</t>
  </si>
  <si>
    <t>Closing cash balance</t>
  </si>
  <si>
    <t>Funding Announced for 2024/25 levels not confirmed assuming no change to 2023/24 figures. Future funding subject to Spending Review. Received funds for qtr 1 of 23/24. Invoiced BC for qtrs 2 &amp; 3 in Dec23 and funds yet to be received.</t>
  </si>
  <si>
    <t>Based on Nov balance</t>
  </si>
  <si>
    <t>Actuals in Dec23 reflects interest from Lloyds bank. Accounted for additional 6k int expected in Jan24.</t>
  </si>
  <si>
    <t>Reimbursement of staff costs for services provided to BBF and recharging SAC for their part of the show case. Funds received in Jan24 from debtor.</t>
  </si>
  <si>
    <t>Based on EZ's  Dec balance</t>
  </si>
  <si>
    <t>programme costs</t>
  </si>
  <si>
    <t>other  revenue costs</t>
  </si>
  <si>
    <t>Expecting funding to Council 24/25 for these functions - . Invoiced BC for core LEP funding 23/34 in Aug23, yet to receive.</t>
  </si>
  <si>
    <t>One off payment of residual LEP funds held by Buckinghamshire Council.  Forecast variance - was not included in budget (balance sheet item). It was included in the projected reserve balances. Invoiced BC for £687k. Awaiting payment which should be paid by end Jan-24.</t>
  </si>
  <si>
    <r>
      <t xml:space="preserve">Visit Buckinghamshire: BBF loan repayment £8k up to , Silverstone Heritage Centre £142k &amp; interest up to January 2028 (2023/24 payment £169k), Westcott Innovation  Centre SAC £621k, (£14k interest per year) final capital payment £1.040m in 2028/29. There is a proportion of this loan repayment of £233.12k that needs to be repaid to BC for the EZ element of the loan repayment (£210k capital repayment and £23k interest).  re  Forecast variance - was not included in budget (balance sheet item). </t>
    </r>
    <r>
      <rPr>
        <sz val="11"/>
        <color rgb="FFFF0000"/>
        <rFont val="Abadi"/>
        <family val="2"/>
      </rPr>
      <t>The figure reported in Nov was slightly different and an adjustment has been made to reflect the correct figure in the Dec report.</t>
    </r>
  </si>
  <si>
    <t xml:space="preserve">Total expected by LEP across both contracts £1.3m (£398k received prior to 2023/24 and in LEP Bank Account  - ringfenced for future pooled investment fund) - Buckinghamshire Council to receive £1.76m across both contracts (Total future investment into pooled investment fund (£3.06m).  Forecast variance - final fig for contracts lower than budgeted because we hit the ceiling of Contract 1.  Dec fig's have been received, further updates from the Gainshare programme: £518 k expected to be paid to BLEP before Mar24. </t>
  </si>
  <si>
    <t>see above. Nov's figures adjusted to reflect journals and time spent by staff on EZ programme.</t>
  </si>
  <si>
    <r>
      <t>Forecast variance -</t>
    </r>
    <r>
      <rPr>
        <sz val="11"/>
        <color rgb="FFFF0000"/>
        <rFont val="Abadi"/>
        <family val="2"/>
      </rPr>
      <t xml:space="preserve"> LEP agreed top up on Govt Grant (£190k)</t>
    </r>
    <r>
      <rPr>
        <sz val="11"/>
        <color theme="1"/>
        <rFont val="Abadi"/>
        <family val="2"/>
      </rPr>
      <t xml:space="preserve"> + Govt Grant was £30k higher than budgeted. The remaining 2 instalments for the additional funding  has been included in the March forecast.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</si>
</sst>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b/>
      <sz val="16"/>
      <color theme="1"/>
      <name val="Calibri"/>
      <family val="2"/>
    </font>
    <font>
      <b/>
      <u/>
      <sz val="12"/>
      <color theme="1"/>
      <name val="Abadi"/>
      <family val="2"/>
    </font>
    <font>
      <sz val="14"/>
      <color theme="1"/>
      <name val="Abadi"/>
      <family val="2"/>
    </font>
    <font>
      <b/>
      <sz val="16"/>
      <color theme="1"/>
      <name val="Abad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bad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badi"/>
      <family val="2"/>
    </font>
    <font>
      <i/>
      <sz val="11"/>
      <color theme="1"/>
      <name val="Abad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badi"/>
      <family val="2"/>
    </font>
    <font>
      <sz val="12"/>
      <color theme="1"/>
      <name val="Abadi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1" fillId="0" borderId="5" xfId="0" applyFont="1" applyBorder="1"/>
    <xf numFmtId="0" fontId="2" fillId="3" borderId="0" xfId="0" applyFont="1" applyFill="1"/>
    <xf numFmtId="3" fontId="1" fillId="4" borderId="0" xfId="0" applyNumberFormat="1" applyFont="1" applyFill="1"/>
    <xf numFmtId="3" fontId="0" fillId="2" borderId="0" xfId="0" applyNumberFormat="1" applyFill="1"/>
    <xf numFmtId="0" fontId="4" fillId="0" borderId="5" xfId="0" applyFont="1" applyBorder="1" applyAlignment="1">
      <alignment vertical="center"/>
    </xf>
    <xf numFmtId="0" fontId="5" fillId="0" borderId="7" xfId="0" applyFont="1" applyBorder="1"/>
    <xf numFmtId="0" fontId="4" fillId="0" borderId="5" xfId="0" applyFont="1" applyBorder="1"/>
    <xf numFmtId="0" fontId="6" fillId="0" borderId="7" xfId="0" applyFont="1" applyBorder="1"/>
    <xf numFmtId="0" fontId="3" fillId="0" borderId="8" xfId="0" applyFont="1" applyBorder="1"/>
    <xf numFmtId="3" fontId="0" fillId="2" borderId="9" xfId="0" applyNumberFormat="1" applyFill="1" applyBorder="1"/>
    <xf numFmtId="3" fontId="1" fillId="4" borderId="9" xfId="0" applyNumberFormat="1" applyFont="1" applyFill="1" applyBorder="1"/>
    <xf numFmtId="3" fontId="0" fillId="2" borderId="1" xfId="0" applyNumberFormat="1" applyFill="1" applyBorder="1"/>
    <xf numFmtId="3" fontId="1" fillId="4" borderId="1" xfId="0" applyNumberFormat="1" applyFont="1" applyFill="1" applyBorder="1"/>
    <xf numFmtId="3" fontId="0" fillId="2" borderId="10" xfId="0" applyNumberFormat="1" applyFill="1" applyBorder="1"/>
    <xf numFmtId="3" fontId="1" fillId="4" borderId="10" xfId="0" applyNumberFormat="1" applyFont="1" applyFill="1" applyBorder="1"/>
    <xf numFmtId="3" fontId="1" fillId="4" borderId="11" xfId="0" applyNumberFormat="1" applyFont="1" applyFill="1" applyBorder="1"/>
    <xf numFmtId="0" fontId="2" fillId="2" borderId="12" xfId="0" applyFont="1" applyFill="1" applyBorder="1"/>
    <xf numFmtId="0" fontId="2" fillId="3" borderId="12" xfId="0" applyFont="1" applyFill="1" applyBorder="1"/>
    <xf numFmtId="0" fontId="2" fillId="0" borderId="13" xfId="0" applyFont="1" applyBorder="1"/>
    <xf numFmtId="0" fontId="2" fillId="7" borderId="2" xfId="0" applyFont="1" applyFill="1" applyBorder="1"/>
    <xf numFmtId="0" fontId="2" fillId="7" borderId="3" xfId="0" applyFont="1" applyFill="1" applyBorder="1"/>
    <xf numFmtId="0" fontId="1" fillId="7" borderId="3" xfId="0" applyFont="1" applyFill="1" applyBorder="1"/>
    <xf numFmtId="0" fontId="1" fillId="7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2" fillId="6" borderId="15" xfId="0" applyFont="1" applyFill="1" applyBorder="1"/>
    <xf numFmtId="0" fontId="1" fillId="0" borderId="16" xfId="0" applyFont="1" applyBorder="1"/>
    <xf numFmtId="0" fontId="1" fillId="0" borderId="14" xfId="0" applyFont="1" applyBorder="1"/>
    <xf numFmtId="0" fontId="1" fillId="0" borderId="18" xfId="0" applyFont="1" applyBorder="1"/>
    <xf numFmtId="3" fontId="1" fillId="0" borderId="0" xfId="0" applyNumberFormat="1" applyFont="1"/>
    <xf numFmtId="0" fontId="0" fillId="3" borderId="0" xfId="0" applyFill="1"/>
    <xf numFmtId="0" fontId="1" fillId="0" borderId="16" xfId="0" applyFont="1" applyBorder="1" applyAlignment="1">
      <alignment wrapText="1"/>
    </xf>
    <xf numFmtId="0" fontId="7" fillId="2" borderId="0" xfId="0" applyFont="1" applyFill="1"/>
    <xf numFmtId="3" fontId="7" fillId="4" borderId="0" xfId="0" applyNumberFormat="1" applyFont="1" applyFill="1"/>
    <xf numFmtId="3" fontId="1" fillId="4" borderId="21" xfId="0" applyNumberFormat="1" applyFont="1" applyFill="1" applyBorder="1"/>
    <xf numFmtId="3" fontId="7" fillId="4" borderId="19" xfId="0" applyNumberFormat="1" applyFont="1" applyFill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3" fontId="0" fillId="2" borderId="12" xfId="0" applyNumberFormat="1" applyFill="1" applyBorder="1"/>
    <xf numFmtId="3" fontId="1" fillId="4" borderId="12" xfId="0" applyNumberFormat="1" applyFont="1" applyFill="1" applyBorder="1"/>
    <xf numFmtId="0" fontId="1" fillId="0" borderId="20" xfId="0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5" borderId="29" xfId="0" applyNumberFormat="1" applyFont="1" applyFill="1" applyBorder="1" applyAlignment="1">
      <alignment horizontal="center" wrapText="1"/>
    </xf>
    <xf numFmtId="3" fontId="11" fillId="5" borderId="25" xfId="0" applyNumberFormat="1" applyFont="1" applyFill="1" applyBorder="1" applyAlignment="1">
      <alignment horizontal="center"/>
    </xf>
    <xf numFmtId="3" fontId="11" fillId="5" borderId="20" xfId="0" applyNumberFormat="1" applyFont="1" applyFill="1" applyBorder="1" applyAlignment="1">
      <alignment horizontal="center"/>
    </xf>
    <xf numFmtId="3" fontId="11" fillId="5" borderId="26" xfId="0" applyNumberFormat="1" applyFont="1" applyFill="1" applyBorder="1" applyAlignment="1">
      <alignment horizontal="center"/>
    </xf>
    <xf numFmtId="3" fontId="11" fillId="5" borderId="3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9" borderId="0" xfId="0" applyFont="1" applyFill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10" borderId="0" xfId="0" applyFill="1"/>
    <xf numFmtId="1" fontId="0" fillId="10" borderId="0" xfId="0" applyNumberFormat="1" applyFill="1" applyAlignment="1">
      <alignment horizontal="center"/>
    </xf>
    <xf numFmtId="0" fontId="11" fillId="0" borderId="17" xfId="0" applyFont="1" applyBorder="1"/>
    <xf numFmtId="3" fontId="1" fillId="0" borderId="20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1" fillId="0" borderId="28" xfId="0" applyFont="1" applyBorder="1" applyAlignment="1">
      <alignment horizontal="center" wrapText="1"/>
    </xf>
    <xf numFmtId="3" fontId="1" fillId="2" borderId="0" xfId="0" applyNumberFormat="1" applyFont="1" applyFill="1" applyAlignment="1">
      <alignment wrapText="1"/>
    </xf>
    <xf numFmtId="3" fontId="1" fillId="4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3" fontId="1" fillId="5" borderId="25" xfId="0" applyNumberFormat="1" applyFont="1" applyFill="1" applyBorder="1"/>
    <xf numFmtId="3" fontId="1" fillId="5" borderId="1" xfId="0" applyNumberFormat="1" applyFont="1" applyFill="1" applyBorder="1"/>
    <xf numFmtId="3" fontId="11" fillId="5" borderId="25" xfId="0" applyNumberFormat="1" applyFont="1" applyFill="1" applyBorder="1"/>
    <xf numFmtId="1" fontId="7" fillId="0" borderId="0" xfId="0" applyNumberFormat="1" applyFont="1"/>
    <xf numFmtId="0" fontId="0" fillId="0" borderId="31" xfId="0" applyBorder="1"/>
    <xf numFmtId="0" fontId="9" fillId="13" borderId="32" xfId="3" applyBorder="1" applyAlignment="1">
      <alignment horizontal="center" wrapText="1"/>
    </xf>
    <xf numFmtId="0" fontId="9" fillId="14" borderId="33" xfId="4" applyBorder="1" applyAlignment="1">
      <alignment horizontal="center" wrapText="1"/>
    </xf>
    <xf numFmtId="0" fontId="9" fillId="12" borderId="33" xfId="2" applyBorder="1" applyAlignment="1">
      <alignment horizontal="center" wrapText="1"/>
    </xf>
    <xf numFmtId="0" fontId="9" fillId="14" borderId="34" xfId="4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3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2" xfId="0" applyFont="1" applyBorder="1"/>
    <xf numFmtId="0" fontId="1" fillId="0" borderId="1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7" fontId="0" fillId="0" borderId="2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41" fontId="1" fillId="11" borderId="0" xfId="0" applyNumberFormat="1" applyFont="1" applyFill="1" applyAlignment="1">
      <alignment horizontal="right"/>
    </xf>
    <xf numFmtId="41" fontId="1" fillId="9" borderId="0" xfId="0" applyNumberFormat="1" applyFont="1" applyFill="1" applyAlignment="1">
      <alignment horizontal="right"/>
    </xf>
    <xf numFmtId="41" fontId="8" fillId="2" borderId="0" xfId="0" applyNumberFormat="1" applyFont="1" applyFill="1" applyAlignment="1">
      <alignment horizontal="right"/>
    </xf>
    <xf numFmtId="41" fontId="8" fillId="0" borderId="0" xfId="0" applyNumberFormat="1" applyFont="1" applyAlignment="1">
      <alignment horizontal="right"/>
    </xf>
    <xf numFmtId="41" fontId="0" fillId="0" borderId="0" xfId="0" applyNumberFormat="1" applyAlignment="1">
      <alignment horizontal="right"/>
    </xf>
    <xf numFmtId="0" fontId="7" fillId="0" borderId="20" xfId="0" applyFont="1" applyBorder="1"/>
    <xf numFmtId="0" fontId="0" fillId="0" borderId="20" xfId="0" applyBorder="1" applyAlignment="1">
      <alignment horizontal="right"/>
    </xf>
    <xf numFmtId="3" fontId="14" fillId="0" borderId="25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13" fillId="0" borderId="25" xfId="1" applyNumberFormat="1" applyFont="1" applyBorder="1" applyAlignment="1">
      <alignment horizontal="right"/>
    </xf>
    <xf numFmtId="164" fontId="13" fillId="0" borderId="23" xfId="1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5" borderId="22" xfId="0" applyNumberFormat="1" applyFont="1" applyFill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3" fontId="1" fillId="8" borderId="24" xfId="0" applyNumberFormat="1" applyFont="1" applyFill="1" applyBorder="1" applyAlignment="1">
      <alignment horizontal="right"/>
    </xf>
    <xf numFmtId="3" fontId="14" fillId="0" borderId="25" xfId="0" applyNumberFormat="1" applyFont="1" applyBorder="1"/>
    <xf numFmtId="3" fontId="14" fillId="0" borderId="1" xfId="0" applyNumberFormat="1" applyFont="1" applyBorder="1"/>
    <xf numFmtId="17" fontId="1" fillId="0" borderId="0" xfId="0" applyNumberFormat="1" applyFont="1" applyAlignment="1">
      <alignment horizontal="center"/>
    </xf>
    <xf numFmtId="1" fontId="11" fillId="0" borderId="29" xfId="0" applyNumberFormat="1" applyFont="1" applyBorder="1" applyAlignment="1">
      <alignment horizontal="center"/>
    </xf>
    <xf numFmtId="3" fontId="1" fillId="9" borderId="0" xfId="0" applyNumberFormat="1" applyFont="1" applyFill="1" applyAlignment="1">
      <alignment horizontal="center"/>
    </xf>
    <xf numFmtId="0" fontId="1" fillId="11" borderId="16" xfId="0" applyFont="1" applyFill="1" applyBorder="1" applyAlignment="1">
      <alignment wrapText="1"/>
    </xf>
    <xf numFmtId="1" fontId="11" fillId="11" borderId="29" xfId="0" applyNumberFormat="1" applyFont="1" applyFill="1" applyBorder="1" applyAlignment="1">
      <alignment horizontal="center"/>
    </xf>
    <xf numFmtId="0" fontId="1" fillId="11" borderId="0" xfId="0" applyFont="1" applyFill="1" applyAlignment="1">
      <alignment wrapText="1"/>
    </xf>
    <xf numFmtId="1" fontId="11" fillId="11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</cellXfs>
  <cellStyles count="5">
    <cellStyle name="20% - Accent4" xfId="3" builtinId="42"/>
    <cellStyle name="40% - Accent2" xfId="2" builtinId="35"/>
    <cellStyle name="40% - Accent5" xfId="4" builtinId="47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ucksbusinessfirst-my.sharepoint.com/personal/matt_peachey_buckslep_co_uk/Documents/Desktop/Copy%20of%20LEP%20cashflows%20(003)%20290823.xlsx" TargetMode="External"/><Relationship Id="rId1" Type="http://schemas.openxmlformats.org/officeDocument/2006/relationships/externalLinkPath" Target="https://bucksbusinessfirst-my.sharepoint.com/personal/matt_peachey_buckslep_co_uk/Documents/Desktop/Copy%20of%20LEP%20cashflows%20(003)%202908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ucksbusinessfirst.sharepoint.com/sites/btvlep/Private/001%20LEP%20Governance/FINANCE/Budget%20preparation%2023.24/PIF%20Five%20year%20financial%20plan%2024-25%20to%2028-29%20Draft%20V2%20-%20Post%20RH%20COmments.xlsx" TargetMode="External"/><Relationship Id="rId1" Type="http://schemas.openxmlformats.org/officeDocument/2006/relationships/externalLinkPath" Target="/sites/btvlep/Private/001%20LEP%20Governance/FINANCE/Budget%20preparation%2023.24/PIF%20Five%20year%20financial%20plan%2024-25%20to%2028-29%20Draft%20V2%20-%20Post%20RH%20COm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Update Cashflow Version"/>
      <sheetName val="Sheet2"/>
      <sheetName val="LEP Budget Overview - CLAIRE"/>
      <sheetName val="LEP Budget Overview - UMA"/>
      <sheetName val="Simple Version"/>
      <sheetName val="Broadband "/>
      <sheetName val="Sheet4"/>
      <sheetName val="22-23 Bucks  cost c Bdown "/>
      <sheetName val="LEP Review &gt;&gt;"/>
      <sheetName val="Cashflow Model"/>
      <sheetName val="Reserves Position"/>
      <sheetName val="VfM Test"/>
      <sheetName val="Staffing"/>
      <sheetName val="Non Pay"/>
    </sheetNames>
    <sheetDataSet>
      <sheetData sheetId="0"/>
      <sheetData sheetId="1"/>
      <sheetData sheetId="2"/>
      <sheetData sheetId="3">
        <row r="5">
          <cell r="C5">
            <v>-250</v>
          </cell>
        </row>
        <row r="12">
          <cell r="C12">
            <v>-78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8">
          <cell r="K28" t="str">
            <v>Expenditure required as a contingent liability and professional indemnity for the potential winding up of BLEP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Uma Rajah" id="{C4FC0D2C-6447-4203-AFF9-0B86C6D932C6}" userId="S::Uma.Rajah@buckslep.co.uk::9d550af1-027d-48d9-a834-d894fb2aef9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2" dT="2024-01-11T12:09:00.28" personId="{C4FC0D2C-6447-4203-AFF9-0B86C6D932C6}" id="{E4E47689-986A-47C2-B273-0B25A856B5F7}">
    <text>~Growth hub qtr1, Lep network, Ez op fund 23/24, BBF loan repayments for 22 = (63.7k+78k+250k+8k)</text>
  </threadedComment>
  <threadedComment ref="D12" dT="2024-01-11T12:09:08.23" personId="{C4FC0D2C-6447-4203-AFF9-0B86C6D932C6}" id="{62041258-CC7D-4F71-A728-ACFD95298EF4}" parentId="{E4E47689-986A-47C2-B273-0B25A856B5F7}">
    <text>=£399.7k paid by BC in Oct23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131F7-B0A1-4DDF-AD26-5CE5472120DC}">
  <dimension ref="A1:R73"/>
  <sheetViews>
    <sheetView tabSelected="1" topLeftCell="A3" zoomScale="98" zoomScaleNormal="98" workbookViewId="0">
      <pane xSplit="2" ySplit="2" topLeftCell="C19" activePane="bottomRight" state="frozen"/>
      <selection activeCell="A3" sqref="A3"/>
      <selection pane="topRight" activeCell="C3" sqref="C3"/>
      <selection pane="bottomLeft" activeCell="A5" sqref="A5"/>
      <selection pane="bottomRight" activeCell="M27" sqref="M27"/>
    </sheetView>
  </sheetViews>
  <sheetFormatPr defaultRowHeight="15" x14ac:dyDescent="0.25"/>
  <cols>
    <col min="2" max="2" width="40.85546875" customWidth="1"/>
    <col min="3" max="3" width="11.85546875" style="50" bestFit="1" customWidth="1"/>
    <col min="4" max="4" width="11.7109375" style="50" customWidth="1"/>
    <col min="5" max="5" width="12.85546875" style="50" bestFit="1" customWidth="1"/>
    <col min="6" max="6" width="11.42578125" style="50" hidden="1" customWidth="1"/>
    <col min="7" max="7" width="12.28515625" style="50" customWidth="1"/>
    <col min="8" max="8" width="12.140625" style="50" customWidth="1"/>
    <col min="9" max="9" width="11.85546875" style="50" customWidth="1"/>
    <col min="10" max="10" width="12.140625" style="50" bestFit="1" customWidth="1"/>
    <col min="11" max="11" width="13.42578125" style="55" customWidth="1"/>
    <col min="12" max="12" width="1.85546875" customWidth="1"/>
    <col min="17" max="17" width="8.5703125" customWidth="1"/>
    <col min="18" max="18" width="137" customWidth="1"/>
  </cols>
  <sheetData>
    <row r="1" spans="1:18" x14ac:dyDescent="0.25">
      <c r="A1" s="1"/>
      <c r="B1" s="21" t="s">
        <v>0</v>
      </c>
      <c r="C1" s="43"/>
      <c r="D1" s="43"/>
      <c r="E1" s="43"/>
      <c r="F1" s="43"/>
      <c r="G1" s="43"/>
      <c r="H1" s="43"/>
      <c r="I1" s="43"/>
      <c r="J1" s="43"/>
      <c r="K1" s="52"/>
      <c r="L1" s="22"/>
      <c r="M1" s="22"/>
      <c r="N1" s="22"/>
      <c r="O1" s="22"/>
      <c r="P1" s="23"/>
      <c r="Q1" s="23"/>
      <c r="R1" s="24"/>
    </row>
    <row r="2" spans="1:18" x14ac:dyDescent="0.25">
      <c r="A2" s="1"/>
      <c r="B2" s="25"/>
      <c r="C2" s="44"/>
      <c r="D2" s="44"/>
      <c r="E2" s="44"/>
      <c r="F2" s="44"/>
      <c r="G2" s="44"/>
      <c r="H2" s="44"/>
      <c r="I2" s="44"/>
      <c r="J2" s="45" t="s">
        <v>1</v>
      </c>
      <c r="K2" s="53"/>
      <c r="L2" s="3"/>
      <c r="M2" s="3" t="s">
        <v>2</v>
      </c>
      <c r="N2" s="3"/>
      <c r="O2" s="3"/>
      <c r="P2" s="32"/>
      <c r="Q2" s="32"/>
      <c r="R2" s="26"/>
    </row>
    <row r="3" spans="1:18" x14ac:dyDescent="0.25">
      <c r="A3" s="1"/>
      <c r="B3" s="20" t="s">
        <v>3</v>
      </c>
      <c r="C3" s="135" t="s">
        <v>4</v>
      </c>
      <c r="D3" s="135"/>
      <c r="E3" s="135"/>
      <c r="F3" s="135"/>
      <c r="G3" s="135"/>
      <c r="H3" s="135"/>
      <c r="I3" s="135"/>
      <c r="J3" s="135"/>
      <c r="K3" s="135"/>
      <c r="L3" s="18"/>
      <c r="M3" s="19" t="s">
        <v>5</v>
      </c>
      <c r="N3" s="19" t="s">
        <v>6</v>
      </c>
      <c r="O3" s="19" t="s">
        <v>7</v>
      </c>
      <c r="P3" s="19" t="s">
        <v>8</v>
      </c>
      <c r="Q3" s="19" t="s">
        <v>9</v>
      </c>
      <c r="R3" s="27" t="s">
        <v>10</v>
      </c>
    </row>
    <row r="4" spans="1:18" s="76" customFormat="1" ht="30" x14ac:dyDescent="0.25">
      <c r="A4" s="71"/>
      <c r="B4" s="72"/>
      <c r="C4" s="82" t="s">
        <v>42</v>
      </c>
      <c r="D4" s="83" t="s">
        <v>43</v>
      </c>
      <c r="E4" s="83" t="s">
        <v>63</v>
      </c>
      <c r="F4" s="84" t="s">
        <v>70</v>
      </c>
      <c r="G4" s="83" t="s">
        <v>68</v>
      </c>
      <c r="H4" s="83" t="s">
        <v>67</v>
      </c>
      <c r="I4" s="83" t="s">
        <v>69</v>
      </c>
      <c r="J4" s="85" t="s">
        <v>40</v>
      </c>
      <c r="K4" s="57" t="s">
        <v>41</v>
      </c>
      <c r="L4" s="74"/>
      <c r="M4" s="75"/>
      <c r="N4" s="75"/>
      <c r="O4" s="75"/>
      <c r="P4" s="75"/>
      <c r="Q4" s="75"/>
      <c r="R4" s="33"/>
    </row>
    <row r="5" spans="1:18" ht="21" thickBot="1" x14ac:dyDescent="0.35">
      <c r="A5" s="1"/>
      <c r="B5" s="9" t="s">
        <v>11</v>
      </c>
      <c r="C5" s="77">
        <v>-8782</v>
      </c>
      <c r="D5" s="78">
        <v>-8782</v>
      </c>
      <c r="E5" s="78">
        <v>-8782</v>
      </c>
      <c r="F5" s="78"/>
      <c r="G5" s="78">
        <v>-8782</v>
      </c>
      <c r="H5" s="78">
        <v>-8782</v>
      </c>
      <c r="I5" s="78">
        <v>-8782</v>
      </c>
      <c r="J5" s="78">
        <v>-8782</v>
      </c>
      <c r="K5" s="79"/>
      <c r="L5" s="13"/>
      <c r="M5" s="14">
        <f>J34</f>
        <v>-13161.903333333335</v>
      </c>
      <c r="N5" s="14">
        <f>M34</f>
        <v>-16801.903333333335</v>
      </c>
      <c r="O5" s="14">
        <f>N34</f>
        <v>-21386.903333333335</v>
      </c>
      <c r="P5" s="14">
        <f>O34</f>
        <v>-26661.903333333335</v>
      </c>
      <c r="Q5" s="14">
        <f>+P34</f>
        <v>-31925.903333333335</v>
      </c>
      <c r="R5" s="29" t="s">
        <v>36</v>
      </c>
    </row>
    <row r="6" spans="1:18" x14ac:dyDescent="0.25">
      <c r="A6" s="1"/>
      <c r="B6" s="2"/>
      <c r="C6" s="42"/>
      <c r="D6" s="38"/>
      <c r="E6" s="38"/>
      <c r="F6" s="38"/>
      <c r="G6" s="38"/>
      <c r="H6" s="38"/>
      <c r="I6" s="38"/>
      <c r="J6" s="38"/>
      <c r="K6" s="59"/>
      <c r="L6" s="5"/>
      <c r="M6" s="4"/>
      <c r="N6" s="4"/>
      <c r="O6" s="4"/>
      <c r="P6" s="4"/>
      <c r="Q6" s="4"/>
      <c r="R6" s="28"/>
    </row>
    <row r="7" spans="1:18" ht="15.75" x14ac:dyDescent="0.25">
      <c r="A7" s="1"/>
      <c r="B7" s="6" t="s">
        <v>12</v>
      </c>
      <c r="C7" s="46"/>
      <c r="D7" s="47"/>
      <c r="E7" s="47"/>
      <c r="F7" s="47"/>
      <c r="G7" s="47"/>
      <c r="H7" s="47"/>
      <c r="I7" s="47"/>
      <c r="J7" s="47"/>
      <c r="K7" s="59"/>
      <c r="L7" s="5"/>
      <c r="M7" s="4"/>
      <c r="N7" s="4"/>
      <c r="O7" s="4"/>
      <c r="P7" s="4"/>
      <c r="Q7" s="4"/>
      <c r="R7" s="28"/>
    </row>
    <row r="8" spans="1:18" x14ac:dyDescent="0.25">
      <c r="A8" s="1"/>
      <c r="B8" s="2" t="s">
        <v>13</v>
      </c>
      <c r="C8" s="106">
        <v>-250</v>
      </c>
      <c r="D8" s="107">
        <v>-250</v>
      </c>
      <c r="E8" s="108">
        <v>-250</v>
      </c>
      <c r="F8" s="107">
        <f>-E8</f>
        <v>250</v>
      </c>
      <c r="G8" s="107">
        <v>-250</v>
      </c>
      <c r="H8" s="107">
        <v>-250</v>
      </c>
      <c r="I8" s="107">
        <v>-250</v>
      </c>
      <c r="J8" s="107">
        <f>+'[1]LEP Budget Overview - CLAIRE'!C5</f>
        <v>-250</v>
      </c>
      <c r="K8" s="59">
        <f>J8-C8</f>
        <v>0</v>
      </c>
      <c r="L8" s="5"/>
      <c r="M8" s="4">
        <v>0</v>
      </c>
      <c r="N8" s="4">
        <v>0</v>
      </c>
      <c r="O8" s="4">
        <v>0</v>
      </c>
      <c r="P8" s="4">
        <v>0</v>
      </c>
      <c r="Q8" s="4">
        <v>0</v>
      </c>
      <c r="R8" s="28" t="s">
        <v>87</v>
      </c>
    </row>
    <row r="9" spans="1:18" ht="60" x14ac:dyDescent="0.25">
      <c r="A9" s="1"/>
      <c r="B9" s="2" t="s">
        <v>45</v>
      </c>
      <c r="C9" s="106">
        <v>-4725</v>
      </c>
      <c r="D9" s="107">
        <f>(J9/12)*8</f>
        <v>-4117.333333333333</v>
      </c>
      <c r="E9" s="109">
        <f>0.75*-6176</f>
        <v>-4632</v>
      </c>
      <c r="F9" s="107">
        <v>0</v>
      </c>
      <c r="G9" s="109">
        <f>10/12*-6176</f>
        <v>-5146.666666666667</v>
      </c>
      <c r="H9" s="109">
        <f>11/12*-6176</f>
        <v>-5661.333333333333</v>
      </c>
      <c r="I9" s="109">
        <f>-6176</f>
        <v>-6176</v>
      </c>
      <c r="J9" s="107">
        <f>I9</f>
        <v>-6176</v>
      </c>
      <c r="K9" s="59">
        <f t="shared" ref="K9:K20" si="0">J9-C9</f>
        <v>-1451</v>
      </c>
      <c r="L9" s="5"/>
      <c r="M9" s="4">
        <v>-6750</v>
      </c>
      <c r="N9" s="4">
        <v>-6750</v>
      </c>
      <c r="O9" s="4">
        <v>-6750</v>
      </c>
      <c r="P9" s="4">
        <v>-6750</v>
      </c>
      <c r="Q9" s="4">
        <v>-6750</v>
      </c>
      <c r="R9" s="33" t="s">
        <v>46</v>
      </c>
    </row>
    <row r="10" spans="1:18" ht="30" x14ac:dyDescent="0.25">
      <c r="A10" s="1"/>
      <c r="B10" s="2" t="s">
        <v>14</v>
      </c>
      <c r="C10" s="106">
        <v>-231</v>
      </c>
      <c r="D10" s="107">
        <f>-65</f>
        <v>-65</v>
      </c>
      <c r="E10" s="108">
        <f>-65+65-63.7-69.2-60.99</f>
        <v>-193.89000000000001</v>
      </c>
      <c r="F10" s="107">
        <f>69.2+60.99</f>
        <v>130.19</v>
      </c>
      <c r="G10" s="107">
        <f>-65+65-63.7-69.2-60.99</f>
        <v>-193.89000000000001</v>
      </c>
      <c r="H10" s="107">
        <v>-261</v>
      </c>
      <c r="I10" s="107">
        <f>-65+65-63.7-69.2-60.99-67.11</f>
        <v>-261</v>
      </c>
      <c r="J10" s="107">
        <f>I10</f>
        <v>-261</v>
      </c>
      <c r="K10" s="59">
        <f t="shared" si="0"/>
        <v>-30</v>
      </c>
      <c r="L10" s="5"/>
      <c r="M10" s="4">
        <v>-261</v>
      </c>
      <c r="N10" s="4">
        <v>0</v>
      </c>
      <c r="O10" s="4">
        <v>0</v>
      </c>
      <c r="P10" s="4">
        <v>0</v>
      </c>
      <c r="Q10" s="4">
        <v>0</v>
      </c>
      <c r="R10" s="33" t="s">
        <v>80</v>
      </c>
    </row>
    <row r="11" spans="1:18" x14ac:dyDescent="0.25">
      <c r="A11" s="1"/>
      <c r="B11" s="2" t="s">
        <v>15</v>
      </c>
      <c r="C11" s="106">
        <v>-78</v>
      </c>
      <c r="D11" s="107">
        <v>-78</v>
      </c>
      <c r="E11" s="107">
        <f>D11</f>
        <v>-78</v>
      </c>
      <c r="F11" s="107" t="s">
        <v>64</v>
      </c>
      <c r="G11" s="107">
        <v>-78</v>
      </c>
      <c r="H11" s="107">
        <f t="shared" ref="H11:I11" si="1">G11</f>
        <v>-78</v>
      </c>
      <c r="I11" s="107">
        <f t="shared" si="1"/>
        <v>-78</v>
      </c>
      <c r="J11" s="107">
        <f>+'[1]LEP Budget Overview - CLAIRE'!C12</f>
        <v>-78</v>
      </c>
      <c r="K11" s="59">
        <f t="shared" si="0"/>
        <v>0</v>
      </c>
      <c r="L11" s="5"/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28" t="s">
        <v>31</v>
      </c>
    </row>
    <row r="12" spans="1:18" ht="30" x14ac:dyDescent="0.25">
      <c r="A12" s="1"/>
      <c r="B12" s="72" t="s">
        <v>16</v>
      </c>
      <c r="C12" s="106">
        <v>0</v>
      </c>
      <c r="D12" s="109">
        <f>-400+65+78</f>
        <v>-257</v>
      </c>
      <c r="E12" s="108">
        <v>-687</v>
      </c>
      <c r="F12" s="107">
        <f>-E12</f>
        <v>687</v>
      </c>
      <c r="G12" s="107">
        <v>-687</v>
      </c>
      <c r="H12" s="107">
        <v>-687</v>
      </c>
      <c r="I12" s="107">
        <v>-687</v>
      </c>
      <c r="J12" s="107">
        <f>I12</f>
        <v>-687</v>
      </c>
      <c r="K12" s="59">
        <f t="shared" si="0"/>
        <v>-687</v>
      </c>
      <c r="L12" s="5"/>
      <c r="M12" s="4">
        <v>0</v>
      </c>
      <c r="N12" s="4"/>
      <c r="O12" s="4"/>
      <c r="P12" s="4"/>
      <c r="Q12" s="4"/>
      <c r="R12" s="33" t="s">
        <v>88</v>
      </c>
    </row>
    <row r="13" spans="1:18" ht="45" x14ac:dyDescent="0.25">
      <c r="A13" s="1"/>
      <c r="B13" s="72" t="s">
        <v>17</v>
      </c>
      <c r="C13" s="106">
        <v>0</v>
      </c>
      <c r="D13" s="107">
        <v>0</v>
      </c>
      <c r="E13" s="107" t="s">
        <v>64</v>
      </c>
      <c r="F13" s="107"/>
      <c r="G13" s="107"/>
      <c r="H13" s="107">
        <v>-124</v>
      </c>
      <c r="I13" s="107"/>
      <c r="J13" s="107">
        <v>-124</v>
      </c>
      <c r="K13" s="59">
        <f t="shared" si="0"/>
        <v>-124</v>
      </c>
      <c r="L13" s="5"/>
      <c r="M13" s="4"/>
      <c r="N13" s="4"/>
      <c r="O13" s="4"/>
      <c r="P13" s="4"/>
      <c r="Q13" s="4"/>
      <c r="R13" s="33" t="s">
        <v>65</v>
      </c>
    </row>
    <row r="14" spans="1:18" ht="75" x14ac:dyDescent="0.25">
      <c r="A14" s="1"/>
      <c r="B14" s="72" t="s">
        <v>44</v>
      </c>
      <c r="C14" s="106">
        <v>-45</v>
      </c>
      <c r="D14" s="110">
        <v>-798</v>
      </c>
      <c r="E14" s="109">
        <f>-9-621-169</f>
        <v>-799</v>
      </c>
      <c r="F14" s="107">
        <v>0</v>
      </c>
      <c r="G14" s="107">
        <f>E14-1</f>
        <v>-800</v>
      </c>
      <c r="H14" s="107">
        <f>G14-1-1</f>
        <v>-802</v>
      </c>
      <c r="I14" s="107">
        <f>G14-1-1-1</f>
        <v>-803</v>
      </c>
      <c r="J14" s="107">
        <f>I14</f>
        <v>-803</v>
      </c>
      <c r="K14" s="59">
        <f t="shared" si="0"/>
        <v>-758</v>
      </c>
      <c r="L14" s="5"/>
      <c r="M14" s="4">
        <v>-195</v>
      </c>
      <c r="N14" s="4">
        <v>-191</v>
      </c>
      <c r="O14" s="4">
        <v>-190</v>
      </c>
      <c r="P14" s="4">
        <v>-179</v>
      </c>
      <c r="Q14" s="36">
        <v>-1334</v>
      </c>
      <c r="R14" s="33" t="s">
        <v>89</v>
      </c>
    </row>
    <row r="15" spans="1:18" ht="60" x14ac:dyDescent="0.25">
      <c r="A15" s="1"/>
      <c r="B15" s="72" t="s">
        <v>18</v>
      </c>
      <c r="C15" s="106">
        <f>-534-141</f>
        <v>-675</v>
      </c>
      <c r="D15" s="111"/>
      <c r="E15" s="111" t="s">
        <v>64</v>
      </c>
      <c r="F15" s="107"/>
      <c r="G15" s="107">
        <v>-518</v>
      </c>
      <c r="H15" s="112">
        <v>-518</v>
      </c>
      <c r="I15" s="107">
        <v>-636</v>
      </c>
      <c r="J15" s="107">
        <f>I15</f>
        <v>-636</v>
      </c>
      <c r="K15" s="59">
        <f t="shared" si="0"/>
        <v>39</v>
      </c>
      <c r="L15" s="5"/>
      <c r="M15" s="4">
        <v>-181</v>
      </c>
      <c r="N15" s="4">
        <v>-97</v>
      </c>
      <c r="O15" s="4"/>
      <c r="P15" s="4"/>
      <c r="Q15" s="36"/>
      <c r="R15" s="33" t="s">
        <v>90</v>
      </c>
    </row>
    <row r="16" spans="1:18" hidden="1" x14ac:dyDescent="0.25">
      <c r="A16" s="1"/>
      <c r="B16" s="2" t="s">
        <v>32</v>
      </c>
      <c r="C16" s="106"/>
      <c r="D16" s="111"/>
      <c r="E16" s="111"/>
      <c r="F16" s="107"/>
      <c r="G16" s="107"/>
      <c r="H16" s="112"/>
      <c r="I16" s="107"/>
      <c r="J16" s="107">
        <v>0</v>
      </c>
      <c r="K16" s="59">
        <f t="shared" si="0"/>
        <v>0</v>
      </c>
      <c r="L16" s="5"/>
      <c r="M16" s="4"/>
      <c r="N16" s="4"/>
      <c r="O16" s="4"/>
      <c r="P16" s="4"/>
      <c r="Q16" s="36"/>
      <c r="R16" s="28" t="s">
        <v>66</v>
      </c>
    </row>
    <row r="17" spans="1:18" x14ac:dyDescent="0.25">
      <c r="A17" s="1"/>
      <c r="B17" s="2" t="s">
        <v>33</v>
      </c>
      <c r="C17" s="106">
        <v>-20</v>
      </c>
      <c r="D17" s="111">
        <f>-0.25*8</f>
        <v>-2</v>
      </c>
      <c r="E17" s="111">
        <f>-2.25-5.2</f>
        <v>-7.45</v>
      </c>
      <c r="F17" s="107">
        <f>5</f>
        <v>5</v>
      </c>
      <c r="G17" s="107">
        <f>E17-0.25</f>
        <v>-7.7</v>
      </c>
      <c r="H17" s="112">
        <f>E17-0.25-0.25</f>
        <v>-7.95</v>
      </c>
      <c r="I17" s="107">
        <f>E17-0.25-0.25-0.25</f>
        <v>-8.1999999999999993</v>
      </c>
      <c r="J17" s="107">
        <f>I17</f>
        <v>-8.1999999999999993</v>
      </c>
      <c r="K17" s="59">
        <f t="shared" si="0"/>
        <v>11.8</v>
      </c>
      <c r="L17" s="5"/>
      <c r="M17" s="4"/>
      <c r="N17" s="4"/>
      <c r="O17" s="4"/>
      <c r="P17" s="4"/>
      <c r="Q17" s="36"/>
      <c r="R17" s="28" t="s">
        <v>83</v>
      </c>
    </row>
    <row r="18" spans="1:18" x14ac:dyDescent="0.25">
      <c r="A18" s="1"/>
      <c r="B18" s="2" t="s">
        <v>19</v>
      </c>
      <c r="C18" s="106"/>
      <c r="D18" s="111">
        <v>-10.3</v>
      </c>
      <c r="E18" s="111">
        <f>-17.5</f>
        <v>-17.5</v>
      </c>
      <c r="F18" s="107">
        <v>0</v>
      </c>
      <c r="G18" s="107">
        <f>E18-6.2</f>
        <v>-23.7</v>
      </c>
      <c r="H18" s="112"/>
      <c r="I18" s="107">
        <f>G18</f>
        <v>-23.7</v>
      </c>
      <c r="J18" s="107">
        <f>I18</f>
        <v>-23.7</v>
      </c>
      <c r="K18" s="59">
        <f t="shared" si="0"/>
        <v>-23.7</v>
      </c>
      <c r="L18" s="5"/>
      <c r="M18" s="4"/>
      <c r="N18" s="4"/>
      <c r="O18" s="4"/>
      <c r="P18" s="4"/>
      <c r="Q18" s="36"/>
      <c r="R18" s="28" t="s">
        <v>82</v>
      </c>
    </row>
    <row r="19" spans="1:18" x14ac:dyDescent="0.25">
      <c r="A19" s="1"/>
      <c r="B19" s="2" t="s">
        <v>37</v>
      </c>
      <c r="C19" s="106"/>
      <c r="D19" s="111">
        <v>-56</v>
      </c>
      <c r="E19" s="111">
        <f>D19</f>
        <v>-56</v>
      </c>
      <c r="F19" s="107">
        <f>-(E19+8.6)</f>
        <v>47.4</v>
      </c>
      <c r="G19" s="107">
        <f>E19</f>
        <v>-56</v>
      </c>
      <c r="H19" s="112">
        <f>E19</f>
        <v>-56</v>
      </c>
      <c r="I19" s="107">
        <f>E19</f>
        <v>-56</v>
      </c>
      <c r="J19" s="107">
        <f>-56</f>
        <v>-56</v>
      </c>
      <c r="K19" s="59">
        <f t="shared" si="0"/>
        <v>-56</v>
      </c>
      <c r="L19" s="5"/>
      <c r="M19" s="4"/>
      <c r="N19" s="4"/>
      <c r="O19" s="4"/>
      <c r="P19" s="4"/>
      <c r="Q19" s="36"/>
      <c r="R19" s="28" t="s">
        <v>39</v>
      </c>
    </row>
    <row r="20" spans="1:18" x14ac:dyDescent="0.25">
      <c r="B20" s="2" t="s">
        <v>47</v>
      </c>
      <c r="C20" s="113">
        <f>SUM(C8:C19)</f>
        <v>-6024</v>
      </c>
      <c r="D20" s="80">
        <f>SUM(D8:D19)</f>
        <v>-5633.6333333333332</v>
      </c>
      <c r="E20" s="80">
        <f>SUM(E8:E19)</f>
        <v>-6720.84</v>
      </c>
      <c r="F20" s="80">
        <f>SUM(F8:F19)</f>
        <v>1119.5900000000001</v>
      </c>
      <c r="G20" s="80">
        <f t="shared" ref="G20:I20" si="2">SUM(G8:G19)</f>
        <v>-7760.9566666666669</v>
      </c>
      <c r="H20" s="80">
        <f t="shared" si="2"/>
        <v>-8445.2833333333328</v>
      </c>
      <c r="I20" s="80">
        <f t="shared" si="2"/>
        <v>-8978.9000000000015</v>
      </c>
      <c r="J20" s="80">
        <f>SUM(J8:J19)</f>
        <v>-9102.9000000000015</v>
      </c>
      <c r="K20" s="59">
        <f t="shared" si="0"/>
        <v>-3078.9000000000015</v>
      </c>
      <c r="L20" s="34"/>
      <c r="M20" s="35">
        <f>SUM(M8:M19)</f>
        <v>-7387</v>
      </c>
      <c r="N20" s="35">
        <f>SUM(N8:N19)</f>
        <v>-7038</v>
      </c>
      <c r="O20" s="35">
        <f>SUM(O8:O19)</f>
        <v>-6940</v>
      </c>
      <c r="P20" s="35">
        <f>SUM(P8:P19)</f>
        <v>-6929</v>
      </c>
      <c r="Q20" s="37">
        <f>SUM(Q8:Q19)</f>
        <v>-8084</v>
      </c>
      <c r="R20" s="81"/>
    </row>
    <row r="21" spans="1:18" ht="19.5" thickBot="1" x14ac:dyDescent="0.35">
      <c r="A21" s="1"/>
      <c r="B21" s="7" t="s">
        <v>34</v>
      </c>
      <c r="C21" s="125">
        <f>C5+C20</f>
        <v>-14806</v>
      </c>
      <c r="D21" s="126">
        <f>D5+D20</f>
        <v>-14415.633333333333</v>
      </c>
      <c r="E21" s="126">
        <f>E5+E20</f>
        <v>-15502.84</v>
      </c>
      <c r="F21" s="126">
        <f>F5+F20</f>
        <v>1119.5900000000001</v>
      </c>
      <c r="G21" s="126">
        <f t="shared" ref="G21:I21" si="3">G5+G20</f>
        <v>-16542.956666666665</v>
      </c>
      <c r="H21" s="126">
        <f>H5+H20</f>
        <v>-17227.283333333333</v>
      </c>
      <c r="I21" s="126">
        <f t="shared" si="3"/>
        <v>-17760.900000000001</v>
      </c>
      <c r="J21" s="126">
        <f>SUM(J5:J19)</f>
        <v>-17884.900000000001</v>
      </c>
      <c r="K21" s="58">
        <f>SUM(K5:K19)</f>
        <v>-3078.8999999999996</v>
      </c>
      <c r="L21" s="13"/>
      <c r="M21" s="14">
        <f>SUM(M5:M19)</f>
        <v>-20548.903333333335</v>
      </c>
      <c r="N21" s="14">
        <f>SUM(N5:N19)</f>
        <v>-23839.903333333335</v>
      </c>
      <c r="O21" s="14">
        <f>SUM(O5:O19)</f>
        <v>-28326.903333333335</v>
      </c>
      <c r="P21" s="14">
        <f>SUM(P5:P19)</f>
        <v>-33590.903333333335</v>
      </c>
      <c r="Q21" s="14">
        <f>SUM(Q5:Q19)</f>
        <v>-40009.903333333335</v>
      </c>
      <c r="R21" s="29"/>
    </row>
    <row r="22" spans="1:18" x14ac:dyDescent="0.25">
      <c r="A22" s="1"/>
      <c r="B22" s="2"/>
      <c r="C22" s="42"/>
      <c r="D22" s="38"/>
      <c r="E22" s="38"/>
      <c r="F22" s="38"/>
      <c r="G22" s="38"/>
      <c r="H22" s="38"/>
      <c r="I22" s="38"/>
      <c r="J22" s="38"/>
      <c r="K22" s="59"/>
      <c r="L22" s="5"/>
      <c r="M22" s="4"/>
      <c r="N22" s="4"/>
      <c r="O22" s="4"/>
      <c r="P22" s="4"/>
      <c r="Q22" s="4"/>
      <c r="R22" s="28"/>
    </row>
    <row r="23" spans="1:18" ht="15.75" x14ac:dyDescent="0.25">
      <c r="A23" s="1"/>
      <c r="B23" s="8" t="s">
        <v>20</v>
      </c>
      <c r="C23" s="48"/>
      <c r="D23" s="49"/>
      <c r="E23" s="49"/>
      <c r="F23" s="49"/>
      <c r="G23" s="49"/>
      <c r="H23" s="49"/>
      <c r="I23" s="49"/>
      <c r="J23" s="49"/>
      <c r="K23" s="59"/>
      <c r="L23" s="5"/>
      <c r="M23" s="4"/>
      <c r="N23" s="4"/>
      <c r="O23" s="4"/>
      <c r="P23" s="4"/>
      <c r="Q23" s="4"/>
      <c r="R23" s="33" t="s">
        <v>21</v>
      </c>
    </row>
    <row r="24" spans="1:18" x14ac:dyDescent="0.25">
      <c r="A24" s="1"/>
      <c r="B24" s="2" t="s">
        <v>22</v>
      </c>
      <c r="C24" s="106">
        <v>792</v>
      </c>
      <c r="D24" s="107">
        <f>554-554+432+139</f>
        <v>571</v>
      </c>
      <c r="E24" s="107">
        <f>476.27+155</f>
        <v>631.27</v>
      </c>
      <c r="F24" s="107"/>
      <c r="G24" s="107">
        <f>E24/9*10</f>
        <v>701.41111111111115</v>
      </c>
      <c r="H24" s="107">
        <f>E24/9*11</f>
        <v>771.55222222222233</v>
      </c>
      <c r="I24" s="107">
        <f>E24/9*12</f>
        <v>841.69333333333338</v>
      </c>
      <c r="J24" s="107">
        <f>I24</f>
        <v>841.69333333333338</v>
      </c>
      <c r="K24" s="59">
        <f>J24-C24</f>
        <v>49.693333333333385</v>
      </c>
      <c r="L24" s="5"/>
      <c r="M24" s="4">
        <v>500</v>
      </c>
      <c r="N24" s="4">
        <v>500</v>
      </c>
      <c r="O24" s="4">
        <v>500</v>
      </c>
      <c r="P24" s="4">
        <v>500</v>
      </c>
      <c r="Q24" s="4">
        <v>500</v>
      </c>
      <c r="R24" s="33" t="s">
        <v>91</v>
      </c>
    </row>
    <row r="25" spans="1:18" x14ac:dyDescent="0.25">
      <c r="A25" s="1"/>
      <c r="B25" s="2" t="s">
        <v>23</v>
      </c>
      <c r="C25" s="106">
        <f>97+80+47+16+15+14+29+11+10+5-78</f>
        <v>246</v>
      </c>
      <c r="D25" s="107">
        <f>(329-174)-155+169</f>
        <v>169</v>
      </c>
      <c r="E25" s="107">
        <f>195.4-68.229</f>
        <v>127.17100000000001</v>
      </c>
      <c r="F25" s="107"/>
      <c r="G25" s="107">
        <f>E25/9*10</f>
        <v>141.30111111111114</v>
      </c>
      <c r="H25" s="107">
        <v>225</v>
      </c>
      <c r="I25" s="107">
        <v>240</v>
      </c>
      <c r="J25" s="107">
        <v>240</v>
      </c>
      <c r="K25" s="59">
        <f t="shared" ref="K25:K31" si="4">J25-C25</f>
        <v>-6</v>
      </c>
      <c r="L25" s="5"/>
      <c r="M25" s="4">
        <v>245</v>
      </c>
      <c r="N25" s="4">
        <v>245</v>
      </c>
      <c r="O25" s="4">
        <v>245</v>
      </c>
      <c r="P25" s="4">
        <v>245</v>
      </c>
      <c r="Q25" s="4">
        <v>245</v>
      </c>
      <c r="R25" s="33" t="s">
        <v>24</v>
      </c>
    </row>
    <row r="26" spans="1:18" ht="30" x14ac:dyDescent="0.25">
      <c r="A26" s="1"/>
      <c r="B26" s="72" t="s">
        <v>25</v>
      </c>
      <c r="C26" s="114">
        <f>20+29+171+451+287+132+1000+166</f>
        <v>2256</v>
      </c>
      <c r="D26" s="107">
        <f>158-158+352.2-3*47.5-139</f>
        <v>70.699999999999989</v>
      </c>
      <c r="E26" s="107">
        <f>395.1-3*47.5-155</f>
        <v>97.600000000000023</v>
      </c>
      <c r="F26" s="107"/>
      <c r="G26" s="109">
        <f>E26/9*10</f>
        <v>108.44444444444447</v>
      </c>
      <c r="H26" s="109">
        <f>E26/9*11</f>
        <v>119.28888888888892</v>
      </c>
      <c r="I26" s="109">
        <f>E26/9*12+1981.69</f>
        <v>2111.8233333333333</v>
      </c>
      <c r="J26" s="107">
        <f t="shared" ref="J26:J28" si="5">I26</f>
        <v>2111.8233333333333</v>
      </c>
      <c r="K26" s="59">
        <f t="shared" si="4"/>
        <v>-144.17666666666673</v>
      </c>
      <c r="L26" s="5"/>
      <c r="M26" s="4">
        <v>2741</v>
      </c>
      <c r="N26" s="4">
        <v>1708</v>
      </c>
      <c r="O26" s="4">
        <v>920</v>
      </c>
      <c r="P26" s="4">
        <v>920</v>
      </c>
      <c r="Q26" s="4">
        <v>920</v>
      </c>
      <c r="R26" s="33" t="s">
        <v>71</v>
      </c>
    </row>
    <row r="27" spans="1:18" ht="30" x14ac:dyDescent="0.25">
      <c r="A27" s="1"/>
      <c r="B27" s="2" t="s">
        <v>26</v>
      </c>
      <c r="C27" s="106">
        <v>231</v>
      </c>
      <c r="D27" s="107">
        <f>(174+(47.5*2))-269+174.3+2*47.5</f>
        <v>269.3</v>
      </c>
      <c r="E27" s="107">
        <f>174.3+2*47.5</f>
        <v>269.3</v>
      </c>
      <c r="F27" s="107"/>
      <c r="G27" s="107">
        <f>E27+20.68+261/12+47.5</f>
        <v>359.23</v>
      </c>
      <c r="H27" s="107">
        <f>G27+261/12</f>
        <v>380.98</v>
      </c>
      <c r="I27" s="107">
        <f>47.5+H27+23</f>
        <v>451.48</v>
      </c>
      <c r="J27" s="107">
        <f t="shared" si="5"/>
        <v>451.48</v>
      </c>
      <c r="K27" s="59">
        <f t="shared" si="4"/>
        <v>220.48000000000002</v>
      </c>
      <c r="L27" s="5"/>
      <c r="M27" s="4">
        <v>261</v>
      </c>
      <c r="N27" s="4"/>
      <c r="O27" s="4"/>
      <c r="P27" s="4"/>
      <c r="Q27" s="4"/>
      <c r="R27" s="33" t="s">
        <v>92</v>
      </c>
    </row>
    <row r="28" spans="1:18" x14ac:dyDescent="0.25">
      <c r="A28" s="1"/>
      <c r="B28" s="2" t="s">
        <v>27</v>
      </c>
      <c r="C28" s="106">
        <v>78</v>
      </c>
      <c r="D28" s="107">
        <v>78</v>
      </c>
      <c r="E28" s="107">
        <v>78</v>
      </c>
      <c r="F28" s="107"/>
      <c r="G28" s="107">
        <f>E28</f>
        <v>78</v>
      </c>
      <c r="H28" s="107">
        <f>E28</f>
        <v>78</v>
      </c>
      <c r="I28" s="107">
        <f>E28</f>
        <v>78</v>
      </c>
      <c r="J28" s="107">
        <f t="shared" si="5"/>
        <v>78</v>
      </c>
      <c r="K28" s="59">
        <f t="shared" si="4"/>
        <v>0</v>
      </c>
      <c r="L28" s="5"/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33" t="s">
        <v>35</v>
      </c>
    </row>
    <row r="29" spans="1:18" x14ac:dyDescent="0.25">
      <c r="A29" s="1"/>
      <c r="B29" s="2"/>
      <c r="C29" s="106"/>
      <c r="D29" s="107"/>
      <c r="E29" s="107"/>
      <c r="F29" s="107"/>
      <c r="G29" s="107"/>
      <c r="H29" s="107"/>
      <c r="I29" s="107"/>
      <c r="J29" s="107">
        <v>0</v>
      </c>
      <c r="K29" s="59">
        <f t="shared" si="4"/>
        <v>0</v>
      </c>
      <c r="L29" s="5"/>
      <c r="M29" s="4"/>
      <c r="N29" s="4"/>
      <c r="O29" s="4"/>
      <c r="P29" s="4"/>
      <c r="Q29" s="4"/>
      <c r="R29" s="33"/>
    </row>
    <row r="30" spans="1:18" x14ac:dyDescent="0.25">
      <c r="A30" s="1"/>
      <c r="B30" s="2"/>
      <c r="C30" s="106"/>
      <c r="D30" s="107"/>
      <c r="E30" s="107"/>
      <c r="F30" s="107"/>
      <c r="G30" s="107"/>
      <c r="H30" s="107"/>
      <c r="I30" s="107"/>
      <c r="J30" s="107">
        <v>0</v>
      </c>
      <c r="K30" s="59">
        <f t="shared" si="4"/>
        <v>0</v>
      </c>
      <c r="L30" s="5"/>
      <c r="M30" s="4"/>
      <c r="N30" s="4"/>
      <c r="O30" s="4"/>
      <c r="P30" s="4"/>
      <c r="Q30" s="4"/>
      <c r="R30" s="33"/>
    </row>
    <row r="31" spans="1:18" ht="15.75" thickBot="1" x14ac:dyDescent="0.3">
      <c r="A31" s="1"/>
      <c r="B31" s="2" t="s">
        <v>38</v>
      </c>
      <c r="C31" s="106"/>
      <c r="D31" s="107"/>
      <c r="E31" s="107"/>
      <c r="F31" s="107"/>
      <c r="G31" s="107"/>
      <c r="H31" s="107">
        <v>50</v>
      </c>
      <c r="I31" s="107">
        <v>1000</v>
      </c>
      <c r="J31" s="107">
        <f t="shared" ref="J31" si="6">I31</f>
        <v>1000</v>
      </c>
      <c r="K31" s="59">
        <f t="shared" si="4"/>
        <v>1000</v>
      </c>
      <c r="L31" s="5"/>
      <c r="M31" s="4"/>
      <c r="N31" s="4"/>
      <c r="O31" s="16"/>
      <c r="P31" s="16"/>
      <c r="Q31" s="16"/>
      <c r="R31" s="86" t="str">
        <f>[2]Sheet1!$K$28</f>
        <v>Expenditure required as a contingent liability and professional indemnity for the potential winding up of BLEP</v>
      </c>
    </row>
    <row r="32" spans="1:18" ht="19.5" thickBot="1" x14ac:dyDescent="0.35">
      <c r="A32" s="1"/>
      <c r="B32" s="7" t="s">
        <v>28</v>
      </c>
      <c r="C32" s="115">
        <f>SUM(C24:C31)</f>
        <v>3603</v>
      </c>
      <c r="D32" s="116">
        <f>SUM(D24:D28)</f>
        <v>1158</v>
      </c>
      <c r="E32" s="116">
        <f>SUM(E24:E30)</f>
        <v>1203.3410000000001</v>
      </c>
      <c r="F32" s="116">
        <f>SUM(F24:F28)</f>
        <v>0</v>
      </c>
      <c r="G32" s="116">
        <f t="shared" ref="G32" si="7">SUM(G24:G28)</f>
        <v>1388.3866666666668</v>
      </c>
      <c r="H32" s="116">
        <f>SUM(H24:H28)</f>
        <v>1574.8211111111113</v>
      </c>
      <c r="I32" s="116">
        <f>SUM(I24:I31)</f>
        <v>4722.996666666666</v>
      </c>
      <c r="J32" s="116">
        <f>SUM(J24:J31)</f>
        <v>4722.996666666666</v>
      </c>
      <c r="K32" s="60">
        <f>SUM(K24:K31)</f>
        <v>1119.9966666666667</v>
      </c>
      <c r="L32" s="40"/>
      <c r="M32" s="41">
        <f>SUM(M24:M31)</f>
        <v>3747</v>
      </c>
      <c r="N32" s="41">
        <f>SUM(N24:N31)</f>
        <v>2453</v>
      </c>
      <c r="O32" s="12">
        <f>SUM(O24:O31)</f>
        <v>1665</v>
      </c>
      <c r="P32" s="12">
        <f>SUM(P24:P31)</f>
        <v>1665</v>
      </c>
      <c r="Q32" s="12">
        <f>SUM(Q24:Q31)</f>
        <v>1665</v>
      </c>
    </row>
    <row r="33" spans="1:18" x14ac:dyDescent="0.25">
      <c r="A33" s="1"/>
      <c r="B33" s="2"/>
      <c r="C33" s="106"/>
      <c r="D33" s="117"/>
      <c r="E33" s="118"/>
      <c r="F33" s="118"/>
      <c r="G33" s="118"/>
      <c r="H33" s="118"/>
      <c r="I33" s="118"/>
      <c r="J33" s="118"/>
      <c r="K33" s="61"/>
      <c r="L33" s="15"/>
      <c r="M33" s="16"/>
      <c r="N33" s="16"/>
      <c r="O33" s="17"/>
      <c r="P33" s="17"/>
      <c r="Q33" s="17"/>
      <c r="R33" s="30"/>
    </row>
    <row r="34" spans="1:18" ht="21" thickBot="1" x14ac:dyDescent="0.35">
      <c r="A34" s="31"/>
      <c r="B34" s="9" t="s">
        <v>48</v>
      </c>
      <c r="C34" s="119">
        <f>C32+C21</f>
        <v>-11203</v>
      </c>
      <c r="D34" s="119">
        <f>D32+D21</f>
        <v>-13257.633333333333</v>
      </c>
      <c r="E34" s="119">
        <f>E32+E21</f>
        <v>-14299.499</v>
      </c>
      <c r="F34" s="119">
        <f>F32+F21</f>
        <v>1119.5900000000001</v>
      </c>
      <c r="G34" s="119">
        <f t="shared" ref="G34:H34" si="8">G32+G21</f>
        <v>-15154.569999999998</v>
      </c>
      <c r="H34" s="119">
        <f t="shared" si="8"/>
        <v>-15652.462222222221</v>
      </c>
      <c r="I34" s="119">
        <f>I32+I21</f>
        <v>-13037.903333333335</v>
      </c>
      <c r="J34" s="120">
        <f>J21+J32</f>
        <v>-13161.903333333335</v>
      </c>
      <c r="K34" s="58">
        <f>K21+K32</f>
        <v>-1958.903333333333</v>
      </c>
      <c r="L34" s="13"/>
      <c r="M34" s="14">
        <f>M21+M32</f>
        <v>-16801.903333333335</v>
      </c>
      <c r="N34" s="14">
        <f>N21+N32</f>
        <v>-21386.903333333335</v>
      </c>
      <c r="O34" s="14">
        <f>O21+O32</f>
        <v>-26661.903333333335</v>
      </c>
      <c r="P34" s="14">
        <f>P21+P32</f>
        <v>-31925.903333333335</v>
      </c>
      <c r="Q34" s="14">
        <f>Q21+Q32</f>
        <v>-38344.903333333335</v>
      </c>
      <c r="R34" s="29"/>
    </row>
    <row r="35" spans="1:18" x14ac:dyDescent="0.25">
      <c r="A35" s="1"/>
      <c r="B35" s="2" t="s">
        <v>29</v>
      </c>
      <c r="C35" s="121"/>
      <c r="D35" s="122">
        <f>D34-D36</f>
        <v>-9438.6333333333332</v>
      </c>
      <c r="E35" s="122">
        <f>E34-E36</f>
        <v>-10594.499</v>
      </c>
      <c r="F35" s="122">
        <f>F9+F13+F15-5285</f>
        <v>-5285</v>
      </c>
      <c r="G35" s="122">
        <f t="shared" ref="G35:H35" si="9">G34-G36</f>
        <v>-10431.666666666664</v>
      </c>
      <c r="H35" s="122">
        <f t="shared" si="9"/>
        <v>-10946.333333333332</v>
      </c>
      <c r="I35" s="122">
        <f>I34-I36</f>
        <v>-8140.0477777777778</v>
      </c>
      <c r="J35" s="122">
        <f>J34-J36</f>
        <v>-9349.1766666666663</v>
      </c>
      <c r="K35" s="69"/>
      <c r="L35" s="5"/>
      <c r="M35" s="4">
        <f>M26+J35+M9</f>
        <v>-13358.176666666666</v>
      </c>
      <c r="N35" s="4">
        <f>N26+M35+O9</f>
        <v>-18400.176666666666</v>
      </c>
      <c r="O35" s="4">
        <f>O26+N35+O9</f>
        <v>-24230.176666666666</v>
      </c>
      <c r="P35" s="4">
        <f>P26+O35+P9</f>
        <v>-30060.176666666666</v>
      </c>
      <c r="Q35" s="4">
        <f>Q26+P35+Q9</f>
        <v>-35890.176666666666</v>
      </c>
      <c r="R35" s="28"/>
    </row>
    <row r="36" spans="1:18" ht="21.75" thickBot="1" x14ac:dyDescent="0.4">
      <c r="A36" s="1"/>
      <c r="B36" s="10" t="s">
        <v>30</v>
      </c>
      <c r="C36" s="123"/>
      <c r="D36" s="124">
        <v>-3819</v>
      </c>
      <c r="E36" s="124">
        <v>-3705</v>
      </c>
      <c r="F36" s="124">
        <f>-D47+F38+F39</f>
        <v>0</v>
      </c>
      <c r="G36" s="124">
        <f>-C47+G38+G39</f>
        <v>-4722.9033333333336</v>
      </c>
      <c r="H36" s="124">
        <f>-C47+H38+H39</f>
        <v>-4706.1288888888885</v>
      </c>
      <c r="I36" s="124">
        <f>H36+I40</f>
        <v>-4897.8555555555577</v>
      </c>
      <c r="J36" s="124">
        <f>-C47+J38+J39</f>
        <v>-3812.7266666666687</v>
      </c>
      <c r="K36" s="70"/>
      <c r="L36" s="11"/>
      <c r="M36" s="12">
        <f>M34-M35</f>
        <v>-3443.7266666666692</v>
      </c>
      <c r="N36" s="12">
        <f>N34-N35</f>
        <v>-2986.7266666666692</v>
      </c>
      <c r="O36" s="12">
        <f>O34-O35</f>
        <v>-2431.7266666666692</v>
      </c>
      <c r="P36" s="12">
        <f>P34-P35</f>
        <v>-1865.7266666666692</v>
      </c>
      <c r="Q36" s="12">
        <f>Q34-Q35</f>
        <v>-2454.7266666666692</v>
      </c>
      <c r="R36" s="68" t="s">
        <v>62</v>
      </c>
    </row>
    <row r="37" spans="1:18" x14ac:dyDescent="0.25">
      <c r="A37" s="1"/>
      <c r="B37" s="1"/>
      <c r="C37" s="38"/>
      <c r="D37" s="38"/>
      <c r="E37" s="38"/>
      <c r="F37" s="38"/>
      <c r="G37" s="38"/>
      <c r="H37" s="38"/>
      <c r="I37" s="38"/>
      <c r="J37" s="38"/>
      <c r="K37" s="54"/>
      <c r="L37" s="1"/>
      <c r="M37" s="1"/>
      <c r="N37" s="1"/>
      <c r="O37" s="1"/>
      <c r="P37" s="1"/>
      <c r="Q37" s="1"/>
      <c r="R37" s="1"/>
    </row>
    <row r="38" spans="1:18" hidden="1" x14ac:dyDescent="0.25">
      <c r="A38" s="1"/>
      <c r="B38" s="1" t="s">
        <v>51</v>
      </c>
      <c r="C38" s="38"/>
      <c r="D38" s="62">
        <f>D20-D9</f>
        <v>-1516.3000000000002</v>
      </c>
      <c r="E38" s="62">
        <f>E20-E9</f>
        <v>-2088.84</v>
      </c>
      <c r="F38" s="62"/>
      <c r="G38" s="62">
        <f>G20-G9</f>
        <v>-2614.29</v>
      </c>
      <c r="H38" s="62">
        <f>H20-H9</f>
        <v>-2783.95</v>
      </c>
      <c r="I38" s="62">
        <f>I20-I9</f>
        <v>-2802.9000000000015</v>
      </c>
      <c r="J38" s="134">
        <f>J20-J9</f>
        <v>-2926.9000000000015</v>
      </c>
      <c r="K38" s="65">
        <f>J38-D38</f>
        <v>-1410.6000000000013</v>
      </c>
      <c r="L38" s="1"/>
      <c r="M38" s="31"/>
      <c r="N38" s="1"/>
      <c r="O38" s="1"/>
      <c r="P38" s="1"/>
      <c r="Q38" s="1"/>
      <c r="R38" s="1"/>
    </row>
    <row r="39" spans="1:18" hidden="1" x14ac:dyDescent="0.25">
      <c r="A39" s="1"/>
      <c r="D39" s="63">
        <f>D32</f>
        <v>1158</v>
      </c>
      <c r="E39" s="63">
        <f>E32</f>
        <v>1203.3410000000001</v>
      </c>
      <c r="F39" s="63"/>
      <c r="G39" s="63">
        <f>G32</f>
        <v>1388.3866666666668</v>
      </c>
      <c r="H39" s="63">
        <f>H32</f>
        <v>1574.8211111111113</v>
      </c>
      <c r="I39" s="63">
        <f>I32-I26</f>
        <v>2611.1733333333327</v>
      </c>
      <c r="J39" s="63">
        <f>J32-J26</f>
        <v>2611.1733333333327</v>
      </c>
      <c r="K39" s="65">
        <f>J39-D39</f>
        <v>1453.1733333333327</v>
      </c>
      <c r="L39" s="1"/>
      <c r="M39" s="31"/>
      <c r="N39" s="1"/>
      <c r="O39" s="1"/>
      <c r="P39" s="1"/>
      <c r="Q39" s="1"/>
      <c r="R39" s="1"/>
    </row>
    <row r="40" spans="1:18" hidden="1" x14ac:dyDescent="0.25">
      <c r="A40" s="1"/>
      <c r="D40" s="62">
        <f>D38+D39</f>
        <v>-358.30000000000018</v>
      </c>
      <c r="E40" s="62">
        <f>E38+E39</f>
        <v>-885.49900000000002</v>
      </c>
      <c r="F40" s="62">
        <v>3705</v>
      </c>
      <c r="G40" s="62">
        <f>G38+G39</f>
        <v>-1225.9033333333332</v>
      </c>
      <c r="H40" s="62">
        <f t="shared" ref="H40:I40" si="10">H38+H39</f>
        <v>-1209.1288888888885</v>
      </c>
      <c r="I40" s="62">
        <f t="shared" si="10"/>
        <v>-191.72666666666873</v>
      </c>
      <c r="J40" s="62">
        <f>J38+J39</f>
        <v>-315.72666666666873</v>
      </c>
      <c r="K40" s="54"/>
      <c r="L40" s="1"/>
      <c r="M40" s="31"/>
      <c r="N40" s="1"/>
      <c r="O40" s="1"/>
      <c r="P40" s="1"/>
      <c r="Q40" s="1"/>
      <c r="R40" s="1"/>
    </row>
    <row r="41" spans="1:18" hidden="1" x14ac:dyDescent="0.25">
      <c r="A41" s="1"/>
      <c r="D41" s="38"/>
      <c r="E41" s="38"/>
      <c r="F41" s="38"/>
      <c r="G41" s="38"/>
      <c r="H41" s="38"/>
      <c r="I41" s="38"/>
      <c r="J41" s="38"/>
      <c r="K41" s="54"/>
      <c r="L41" s="1"/>
      <c r="M41" s="1"/>
      <c r="N41" s="1"/>
      <c r="O41" s="1"/>
      <c r="P41" s="1"/>
      <c r="Q41" s="1"/>
      <c r="R41" s="1"/>
    </row>
    <row r="42" spans="1:18" ht="45" hidden="1" x14ac:dyDescent="0.25">
      <c r="A42" s="1"/>
      <c r="B42" s="1">
        <v>169</v>
      </c>
      <c r="C42" s="38" t="s">
        <v>49</v>
      </c>
      <c r="F42" s="63"/>
      <c r="J42" s="33" t="s">
        <v>81</v>
      </c>
      <c r="K42" s="128">
        <f>J26-D26</f>
        <v>2041.1233333333332</v>
      </c>
      <c r="L42" s="1"/>
      <c r="M42" s="1"/>
      <c r="N42" s="1"/>
      <c r="O42" s="1"/>
      <c r="P42" s="1"/>
      <c r="Q42" s="1"/>
      <c r="R42" s="1"/>
    </row>
    <row r="43" spans="1:18" ht="45" hidden="1" x14ac:dyDescent="0.25">
      <c r="A43" s="1"/>
      <c r="B43" s="1">
        <v>621</v>
      </c>
      <c r="C43" s="38" t="s">
        <v>50</v>
      </c>
      <c r="J43" s="130" t="s">
        <v>84</v>
      </c>
      <c r="K43" s="131">
        <v>2526</v>
      </c>
      <c r="L43" s="1"/>
      <c r="M43" s="1"/>
      <c r="N43" s="1"/>
      <c r="O43" s="1"/>
      <c r="P43" s="1"/>
      <c r="Q43" s="1"/>
      <c r="R43" s="1"/>
    </row>
    <row r="44" spans="1:18" ht="30" hidden="1" x14ac:dyDescent="0.25">
      <c r="A44" s="1"/>
      <c r="B44" s="1"/>
      <c r="C44" s="38"/>
      <c r="J44" s="132" t="s">
        <v>85</v>
      </c>
      <c r="K44" s="133">
        <v>2394.69</v>
      </c>
      <c r="L44" s="1"/>
      <c r="M44" s="1"/>
      <c r="N44" s="1"/>
      <c r="O44" s="1"/>
      <c r="P44" s="1"/>
      <c r="Q44" s="1"/>
      <c r="R44" s="1"/>
    </row>
    <row r="45" spans="1:18" ht="45" hidden="1" x14ac:dyDescent="0.25">
      <c r="A45" s="1"/>
      <c r="B45" s="1"/>
      <c r="C45" s="38"/>
      <c r="J45" s="132" t="s">
        <v>86</v>
      </c>
      <c r="K45" s="133">
        <f>K43-K44</f>
        <v>131.30999999999995</v>
      </c>
      <c r="L45" s="1"/>
      <c r="M45" s="1"/>
      <c r="N45" s="1"/>
      <c r="O45" s="1"/>
      <c r="P45" s="1"/>
      <c r="Q45" s="1"/>
      <c r="R45" s="1"/>
    </row>
    <row r="46" spans="1:18" hidden="1" x14ac:dyDescent="0.25">
      <c r="A46" s="1"/>
      <c r="B46" s="1"/>
      <c r="C46" s="38"/>
      <c r="D46" s="38"/>
      <c r="E46" s="38"/>
      <c r="F46" s="38"/>
      <c r="G46" s="38"/>
      <c r="H46" s="38"/>
      <c r="I46" s="38"/>
      <c r="K46" s="56"/>
      <c r="L46" s="1"/>
      <c r="M46" s="1"/>
      <c r="N46" s="1"/>
      <c r="O46" s="1"/>
      <c r="P46" s="1"/>
      <c r="Q46" s="1"/>
      <c r="R46" s="1"/>
    </row>
    <row r="47" spans="1:18" hidden="1" x14ac:dyDescent="0.25">
      <c r="A47" s="1"/>
      <c r="B47" s="1" t="s">
        <v>52</v>
      </c>
      <c r="C47" s="1">
        <v>3497</v>
      </c>
      <c r="D47" s="38"/>
      <c r="E47" s="38"/>
      <c r="F47" s="38"/>
      <c r="G47" s="38"/>
      <c r="H47" s="38"/>
      <c r="I47" s="38"/>
      <c r="J47" s="39">
        <f>+D32</f>
        <v>1158</v>
      </c>
      <c r="K47" s="54"/>
      <c r="L47" s="1"/>
      <c r="M47" s="1"/>
      <c r="N47" s="1"/>
      <c r="O47" s="1"/>
      <c r="P47" s="1"/>
      <c r="Q47" s="1"/>
      <c r="R47" s="1"/>
    </row>
    <row r="48" spans="1:18" hidden="1" x14ac:dyDescent="0.25">
      <c r="A48" s="1"/>
      <c r="B48" s="1" t="s">
        <v>53</v>
      </c>
      <c r="C48" s="129">
        <f>D36</f>
        <v>-3819</v>
      </c>
      <c r="D48" s="39">
        <v>3705</v>
      </c>
      <c r="E48" s="39"/>
      <c r="F48" s="39"/>
      <c r="G48" s="39"/>
      <c r="H48" s="39"/>
      <c r="I48" s="39"/>
      <c r="J48" s="51">
        <f>D8+D10+D11+D14+D17+D18+D19</f>
        <v>-1259.3</v>
      </c>
      <c r="K48" s="54"/>
      <c r="L48" s="1"/>
      <c r="M48" s="1"/>
      <c r="N48" s="1"/>
      <c r="O48" s="1"/>
      <c r="P48" s="1"/>
      <c r="Q48" s="1" t="s">
        <v>56</v>
      </c>
      <c r="R48" s="1">
        <v>451</v>
      </c>
    </row>
    <row r="49" spans="1:18" hidden="1" x14ac:dyDescent="0.25">
      <c r="A49" s="1"/>
      <c r="B49" s="1"/>
      <c r="C49" s="38">
        <f>C47-C48</f>
        <v>7316</v>
      </c>
      <c r="D49" s="39">
        <f>C49-J49</f>
        <v>7417.3</v>
      </c>
      <c r="E49" s="39"/>
      <c r="F49" s="39"/>
      <c r="G49" s="39"/>
      <c r="H49" s="39"/>
      <c r="I49" s="39"/>
      <c r="J49" s="39">
        <f>J47+J48</f>
        <v>-101.29999999999995</v>
      </c>
      <c r="K49" s="54"/>
      <c r="L49" s="1"/>
      <c r="M49" s="1"/>
      <c r="N49" s="1"/>
      <c r="O49" s="1"/>
      <c r="P49" s="1"/>
      <c r="Q49" s="1"/>
      <c r="R49" s="1"/>
    </row>
    <row r="50" spans="1:18" hidden="1" x14ac:dyDescent="0.25">
      <c r="A50" s="1"/>
      <c r="B50" s="1"/>
      <c r="C50" s="38"/>
      <c r="D50" s="38"/>
      <c r="E50" s="38"/>
      <c r="F50" s="97" t="s">
        <v>74</v>
      </c>
      <c r="G50" s="95"/>
      <c r="H50" s="95"/>
      <c r="I50" s="95"/>
      <c r="J50" s="96"/>
      <c r="K50" s="54"/>
      <c r="L50" s="1"/>
      <c r="M50" s="1"/>
      <c r="N50" s="1"/>
      <c r="O50" s="1"/>
      <c r="P50" s="1"/>
      <c r="Q50" s="1"/>
      <c r="R50" s="1"/>
    </row>
    <row r="51" spans="1:18" hidden="1" x14ac:dyDescent="0.25">
      <c r="A51" s="1"/>
      <c r="B51" s="1"/>
      <c r="C51" s="38"/>
      <c r="D51" s="38"/>
      <c r="E51" s="38"/>
      <c r="F51" s="73" t="s">
        <v>76</v>
      </c>
      <c r="G51" s="87" t="s">
        <v>72</v>
      </c>
      <c r="H51" s="95" t="s">
        <v>73</v>
      </c>
      <c r="I51" s="95"/>
      <c r="J51" s="96"/>
      <c r="K51" s="54"/>
      <c r="L51" s="1"/>
      <c r="M51" s="1"/>
      <c r="N51" s="1"/>
      <c r="O51" s="1"/>
      <c r="P51" s="1"/>
      <c r="Q51" s="1"/>
      <c r="R51" s="1"/>
    </row>
    <row r="52" spans="1:18" ht="30" hidden="1" x14ac:dyDescent="0.25">
      <c r="A52" s="1"/>
      <c r="B52" s="1"/>
      <c r="C52" s="38"/>
      <c r="D52" s="38"/>
      <c r="E52" s="38"/>
      <c r="F52" s="73" t="s">
        <v>75</v>
      </c>
      <c r="G52" s="87">
        <v>3497</v>
      </c>
      <c r="H52" s="38">
        <f>G52</f>
        <v>3497</v>
      </c>
      <c r="I52" s="38"/>
      <c r="J52" s="89"/>
      <c r="K52" s="54"/>
      <c r="L52" s="1"/>
      <c r="M52" s="1"/>
      <c r="N52" s="1"/>
      <c r="O52" s="1"/>
      <c r="P52" s="1"/>
      <c r="Q52" s="1"/>
      <c r="R52" s="1"/>
    </row>
    <row r="53" spans="1:18" hidden="1" x14ac:dyDescent="0.25">
      <c r="A53" s="1"/>
      <c r="B53" s="1" t="s">
        <v>57</v>
      </c>
      <c r="C53" s="38"/>
      <c r="D53" s="38"/>
      <c r="E53" s="38"/>
      <c r="F53" s="93"/>
      <c r="G53" s="38"/>
      <c r="H53" s="38"/>
      <c r="I53" s="38"/>
      <c r="J53" s="89"/>
      <c r="K53" s="54"/>
      <c r="L53" s="1"/>
      <c r="M53" s="1"/>
      <c r="N53" s="1"/>
      <c r="O53" s="1"/>
      <c r="P53" s="1"/>
      <c r="Q53" s="1"/>
      <c r="R53" s="1"/>
    </row>
    <row r="54" spans="1:18" hidden="1" x14ac:dyDescent="0.25">
      <c r="A54" s="1"/>
      <c r="B54" s="1" t="s">
        <v>54</v>
      </c>
      <c r="C54" s="64">
        <v>1214</v>
      </c>
      <c r="D54" s="38"/>
      <c r="E54" s="38"/>
      <c r="F54" s="94" t="s">
        <v>54</v>
      </c>
      <c r="G54" s="38">
        <v>1208</v>
      </c>
      <c r="H54" s="38">
        <v>1330.4</v>
      </c>
      <c r="I54" s="38"/>
      <c r="J54" s="89"/>
      <c r="K54" s="54"/>
      <c r="L54" s="1"/>
      <c r="M54" s="1"/>
      <c r="N54" s="1"/>
      <c r="O54" s="1"/>
      <c r="P54" s="1"/>
      <c r="Q54" s="1"/>
      <c r="R54" s="1"/>
    </row>
    <row r="55" spans="1:18" hidden="1" x14ac:dyDescent="0.25">
      <c r="A55" s="1"/>
      <c r="B55" s="1" t="s">
        <v>55</v>
      </c>
      <c r="C55" s="38">
        <v>1529</v>
      </c>
      <c r="D55" s="38"/>
      <c r="E55" s="38"/>
      <c r="F55" s="94" t="s">
        <v>55</v>
      </c>
      <c r="G55" s="38">
        <v>1529</v>
      </c>
      <c r="H55" s="38">
        <v>1537.4</v>
      </c>
      <c r="I55" s="38"/>
      <c r="J55" s="89"/>
      <c r="K55" s="54"/>
      <c r="L55" s="1"/>
      <c r="M55" s="1"/>
      <c r="N55" s="1"/>
      <c r="O55" s="1"/>
      <c r="P55" s="1"/>
      <c r="Q55" s="1"/>
      <c r="R55" s="1"/>
    </row>
    <row r="56" spans="1:18" ht="15.75" hidden="1" thickBot="1" x14ac:dyDescent="0.3">
      <c r="A56" s="1"/>
      <c r="B56" s="1"/>
      <c r="C56" s="38">
        <f>C55-C54</f>
        <v>315</v>
      </c>
      <c r="D56" s="38"/>
      <c r="E56" s="38"/>
      <c r="F56" s="88"/>
      <c r="G56" s="105">
        <f>G52+G55-G54</f>
        <v>3818</v>
      </c>
      <c r="H56" s="105">
        <f>H52+H55-H54</f>
        <v>3703.9999999999995</v>
      </c>
      <c r="I56" s="38"/>
      <c r="J56" s="89"/>
      <c r="K56" s="54"/>
      <c r="L56" s="1"/>
      <c r="M56" s="1"/>
      <c r="N56" s="1"/>
      <c r="O56" s="1"/>
      <c r="P56" s="1"/>
      <c r="Q56" s="1"/>
      <c r="R56" s="1"/>
    </row>
    <row r="57" spans="1:18" hidden="1" x14ac:dyDescent="0.25">
      <c r="A57" s="1"/>
      <c r="B57" s="1"/>
      <c r="C57" s="38"/>
      <c r="D57" s="38"/>
      <c r="E57" s="38"/>
      <c r="F57" s="90"/>
      <c r="G57" s="91"/>
      <c r="H57" s="91"/>
      <c r="I57" s="91"/>
      <c r="J57" s="92"/>
      <c r="K57" s="54"/>
      <c r="L57" s="1"/>
      <c r="M57" s="1"/>
      <c r="N57" s="1"/>
      <c r="O57" s="1"/>
      <c r="P57" s="1"/>
      <c r="Q57" s="1"/>
      <c r="R57" s="1"/>
    </row>
    <row r="58" spans="1:18" hidden="1" x14ac:dyDescent="0.25">
      <c r="A58" s="1"/>
      <c r="B58" s="1"/>
      <c r="C58" s="38"/>
      <c r="D58" s="127">
        <v>45261</v>
      </c>
      <c r="E58" s="38"/>
      <c r="F58" s="38"/>
      <c r="G58" s="38"/>
      <c r="H58" s="38"/>
      <c r="I58" s="38"/>
      <c r="J58" s="38"/>
      <c r="K58" s="54"/>
      <c r="L58" s="1"/>
      <c r="M58" s="1"/>
      <c r="N58" s="1"/>
      <c r="O58" s="1"/>
      <c r="P58" s="1"/>
      <c r="Q58" s="1"/>
      <c r="R58" s="1"/>
    </row>
    <row r="59" spans="1:18" hidden="1" x14ac:dyDescent="0.25">
      <c r="A59" s="1"/>
      <c r="B59" s="1" t="s">
        <v>58</v>
      </c>
      <c r="C59" s="39">
        <f>+K38</f>
        <v>-1410.6000000000013</v>
      </c>
      <c r="D59" s="39">
        <f>J38-E38</f>
        <v>-838.06000000000131</v>
      </c>
      <c r="E59" s="38"/>
      <c r="F59" s="38"/>
      <c r="G59" s="38" t="s">
        <v>77</v>
      </c>
      <c r="H59" s="38" t="s">
        <v>78</v>
      </c>
      <c r="I59" s="38"/>
      <c r="J59" s="38"/>
      <c r="K59" s="54"/>
      <c r="L59" s="1"/>
      <c r="M59" s="1"/>
      <c r="N59" s="1"/>
      <c r="O59" s="1"/>
      <c r="P59" s="1"/>
      <c r="Q59" s="1"/>
      <c r="R59" s="1"/>
    </row>
    <row r="60" spans="1:18" hidden="1" x14ac:dyDescent="0.25">
      <c r="A60" s="1"/>
      <c r="B60" s="1" t="s">
        <v>59</v>
      </c>
      <c r="C60" s="39">
        <f>+K39</f>
        <v>1453.1733333333327</v>
      </c>
      <c r="D60" s="51">
        <f>J39-E39</f>
        <v>1407.8323333333326</v>
      </c>
      <c r="E60" s="38"/>
      <c r="F60" s="38"/>
      <c r="G60" s="38"/>
      <c r="H60" s="38"/>
      <c r="I60" s="38"/>
      <c r="J60" s="38"/>
      <c r="K60" s="54"/>
      <c r="L60" s="1"/>
      <c r="M60" s="1"/>
      <c r="N60" s="1"/>
      <c r="O60" s="1"/>
      <c r="P60" s="1"/>
      <c r="Q60" s="1"/>
      <c r="R60" s="1"/>
    </row>
    <row r="61" spans="1:18" ht="30" hidden="1" x14ac:dyDescent="0.25">
      <c r="F61" s="73" t="s">
        <v>75</v>
      </c>
      <c r="G61" s="98"/>
      <c r="H61" s="99">
        <v>3497</v>
      </c>
    </row>
    <row r="62" spans="1:18" hidden="1" x14ac:dyDescent="0.25">
      <c r="F62" s="100">
        <v>45017</v>
      </c>
      <c r="G62" s="50">
        <v>177.22</v>
      </c>
      <c r="H62" s="101">
        <v>317.37700000000001</v>
      </c>
    </row>
    <row r="63" spans="1:18" hidden="1" x14ac:dyDescent="0.25">
      <c r="B63" s="66" t="s">
        <v>60</v>
      </c>
      <c r="C63" s="67">
        <f>-C48+C59+C60</f>
        <v>3861.5733333333314</v>
      </c>
      <c r="D63" s="67">
        <f>-D48+D59+D60</f>
        <v>-3135.2276666666685</v>
      </c>
      <c r="F63" s="100">
        <v>45047</v>
      </c>
      <c r="G63" s="50">
        <v>123.40300000000001</v>
      </c>
      <c r="H63" s="101">
        <v>170.91399999999999</v>
      </c>
    </row>
    <row r="64" spans="1:18" hidden="1" x14ac:dyDescent="0.25">
      <c r="B64" t="s">
        <v>61</v>
      </c>
      <c r="C64" s="62">
        <f>C63-K42</f>
        <v>1820.4499999999982</v>
      </c>
      <c r="D64" s="62">
        <f>D63-K43</f>
        <v>-5661.2276666666685</v>
      </c>
      <c r="F64" s="100">
        <v>45078</v>
      </c>
      <c r="G64" s="50">
        <v>140.797</v>
      </c>
      <c r="H64" s="101">
        <v>1.004</v>
      </c>
    </row>
    <row r="65" spans="6:8" hidden="1" x14ac:dyDescent="0.25">
      <c r="F65" s="100">
        <v>45108</v>
      </c>
      <c r="G65" s="50">
        <v>94.83</v>
      </c>
      <c r="H65" s="101">
        <v>1.004</v>
      </c>
    </row>
    <row r="66" spans="6:8" hidden="1" x14ac:dyDescent="0.25">
      <c r="F66" s="100">
        <v>45139</v>
      </c>
      <c r="G66" s="50">
        <v>230.33</v>
      </c>
      <c r="H66" s="101">
        <v>1.004</v>
      </c>
    </row>
    <row r="67" spans="6:8" hidden="1" x14ac:dyDescent="0.25">
      <c r="F67" s="100">
        <v>45170</v>
      </c>
      <c r="G67" s="50">
        <v>182.66200000000001</v>
      </c>
      <c r="H67" s="101">
        <v>4.2439999999999998</v>
      </c>
    </row>
    <row r="68" spans="6:8" hidden="1" x14ac:dyDescent="0.25">
      <c r="F68" s="100">
        <v>45200</v>
      </c>
      <c r="G68" s="50">
        <v>116</v>
      </c>
      <c r="H68" s="101">
        <v>1026</v>
      </c>
    </row>
    <row r="69" spans="6:8" hidden="1" x14ac:dyDescent="0.25">
      <c r="F69" s="100">
        <v>45231</v>
      </c>
      <c r="G69" s="50">
        <v>142.79499999999999</v>
      </c>
      <c r="H69" s="101">
        <v>8.0579999999999998</v>
      </c>
    </row>
    <row r="70" spans="6:8" hidden="1" x14ac:dyDescent="0.25">
      <c r="F70" s="100">
        <v>45261</v>
      </c>
      <c r="G70" s="50">
        <v>122.282</v>
      </c>
      <c r="H70" s="101">
        <v>8.1310000000000002</v>
      </c>
    </row>
    <row r="71" spans="6:8" hidden="1" x14ac:dyDescent="0.25">
      <c r="F71" s="93"/>
      <c r="G71" s="50">
        <f>SUM(G61:G70)</f>
        <v>1330.3190000000002</v>
      </c>
      <c r="H71" s="101">
        <f>SUM(H61:H70)</f>
        <v>5034.7360000000008</v>
      </c>
    </row>
    <row r="72" spans="6:8" hidden="1" x14ac:dyDescent="0.25">
      <c r="F72" s="102" t="s">
        <v>79</v>
      </c>
      <c r="G72" s="103"/>
      <c r="H72" s="104">
        <f>H71-G71</f>
        <v>3704.4170000000004</v>
      </c>
    </row>
    <row r="73" spans="6:8" hidden="1" x14ac:dyDescent="0.25"/>
  </sheetData>
  <mergeCells count="1">
    <mergeCell ref="C3:K3"/>
  </mergeCells>
  <pageMargins left="0.7" right="0.7" top="0.75" bottom="0.75" header="0.3" footer="0.3"/>
  <pageSetup paperSize="9" orientation="portrait" horizontalDpi="300" verticalDpi="300" r:id="rId1"/>
  <ignoredErrors>
    <ignoredError sqref="D32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dacb442-bfc7-44df-9acc-2a4df8c8cb38">T6W7HYUETC4M-6132631-317679</_dlc_DocId>
    <lcf76f155ced4ddcb4097134ff3c332f xmlns="f381c5e9-0710-4874-9e83-7dea9d48a2b2">
      <Terms xmlns="http://schemas.microsoft.com/office/infopath/2007/PartnerControls"/>
    </lcf76f155ced4ddcb4097134ff3c332f>
    <TaxCatchAll xmlns="bdacb442-bfc7-44df-9acc-2a4df8c8cb38" xsi:nil="true"/>
    <_dlc_DocIdUrl xmlns="bdacb442-bfc7-44df-9acc-2a4df8c8cb38">
      <Url>https://bucksbusinessfirst.sharepoint.com/sites/btvlep/_layouts/15/DocIdRedir.aspx?ID=T6W7HYUETC4M-6132631-317679</Url>
      <Description>T6W7HYUETC4M-6132631-317679</Description>
    </_dlc_DocIdUrl>
    <SharedWithUsers xmlns="bdacb442-bfc7-44df-9acc-2a4df8c8cb38">
      <UserInfo>
        <DisplayName>John Rippon</DisplayName>
        <AccountId>47</AccountId>
        <AccountType/>
      </UserInfo>
      <UserInfo>
        <DisplayName>Ian Barham</DisplayName>
        <AccountId>39</AccountId>
        <AccountType/>
      </UserInfo>
      <UserInfo>
        <DisplayName>Richard Harrington</DisplayName>
        <AccountId>55</AccountId>
        <AccountType/>
      </UserInfo>
      <UserInfo>
        <DisplayName>Uma Rajah</DisplayName>
        <AccountId>651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84EBCA9820A54889BE266E05484C17" ma:contentTypeVersion="1116" ma:contentTypeDescription="Create a new document." ma:contentTypeScope="" ma:versionID="f94c94eebb25cfdfdeb3213f746bcbd5">
  <xsd:schema xmlns:xsd="http://www.w3.org/2001/XMLSchema" xmlns:xs="http://www.w3.org/2001/XMLSchema" xmlns:p="http://schemas.microsoft.com/office/2006/metadata/properties" xmlns:ns2="bdacb442-bfc7-44df-9acc-2a4df8c8cb38" xmlns:ns3="f381c5e9-0710-4874-9e83-7dea9d48a2b2" targetNamespace="http://schemas.microsoft.com/office/2006/metadata/properties" ma:root="true" ma:fieldsID="0b301344e84ceb096d3582e78d5ccaa7" ns2:_="" ns3:_="">
    <xsd:import namespace="bdacb442-bfc7-44df-9acc-2a4df8c8cb38"/>
    <xsd:import namespace="f381c5e9-0710-4874-9e83-7dea9d48a2b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cb442-bfc7-44df-9acc-2a4df8c8cb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639fbd3-ce61-4fa2-9238-2504b05acb09}" ma:internalName="TaxCatchAll" ma:showField="CatchAllData" ma:web="bdacb442-bfc7-44df-9acc-2a4df8c8c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1c5e9-0710-4874-9e83-7dea9d48a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ea9a1c8-df81-41cf-bcb6-b941b67a29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7A972-760C-4ABD-AE55-0F8627A23DCA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f381c5e9-0710-4874-9e83-7dea9d48a2b2"/>
    <ds:schemaRef ds:uri="bdacb442-bfc7-44df-9acc-2a4df8c8cb38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B6207AF-A5EB-4268-8162-9015FA469B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750821-C2FC-445B-88A2-C42D710A95D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CBD647D-1FC8-46FB-8C4F-E9B32CECF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acb442-bfc7-44df-9acc-2a4df8c8cb38"/>
    <ds:schemaRef ds:uri="f381c5e9-0710-4874-9e83-7dea9d48a2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Peachey</dc:creator>
  <cp:keywords/>
  <dc:description/>
  <cp:lastModifiedBy>Richard Burton</cp:lastModifiedBy>
  <cp:revision/>
  <dcterms:created xsi:type="dcterms:W3CDTF">2023-08-30T08:30:50Z</dcterms:created>
  <dcterms:modified xsi:type="dcterms:W3CDTF">2024-01-26T14:54:17Z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0x010100B184EBCA9820A54889BE266E05484C17</vt:lpwstr>
  </property>
  <property fmtid="{D5CDD505-2E9C-101B-9397-08002B2CF9AE}" pid="4" name="_dlc_DocIdItemGuid">
    <vt:lpwstr>5acbb293-981d-43c5-a559-409c7e2c0cc5</vt:lpwstr>
  </property>
</Properties>
</file>